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lenak\Desktop\OPPGAVESETT VÅR 2020\"/>
    </mc:Choice>
  </mc:AlternateContent>
  <bookViews>
    <workbookView xWindow="0" yWindow="0" windowWidth="28800" windowHeight="14100"/>
  </bookViews>
  <sheets>
    <sheet name="oppg1" sheetId="1" r:id="rId1"/>
    <sheet name="oppg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0" i="2" l="1"/>
  <c r="D40" i="1" l="1"/>
  <c r="D12" i="2" l="1"/>
  <c r="J12" i="2" s="1"/>
  <c r="D11" i="2"/>
  <c r="D6" i="2" l="1"/>
  <c r="D4" i="2"/>
  <c r="D5" i="2" s="1"/>
  <c r="D7" i="2" s="1"/>
  <c r="J7" i="2" s="1"/>
  <c r="F19" i="2"/>
  <c r="D85" i="1" l="1"/>
  <c r="L85" i="1" s="1"/>
  <c r="D84" i="1"/>
  <c r="L84" i="1"/>
  <c r="K83" i="1"/>
  <c r="K81" i="1"/>
  <c r="K76" i="1"/>
  <c r="I72" i="1"/>
  <c r="D73" i="1"/>
  <c r="I73" i="1" s="1"/>
  <c r="K68" i="1"/>
  <c r="K66" i="1"/>
  <c r="K60" i="1"/>
  <c r="K74" i="1" l="1"/>
  <c r="D39" i="1" l="1"/>
  <c r="D38" i="1" s="1"/>
  <c r="K40" i="1" s="1"/>
  <c r="K36" i="1"/>
  <c r="D34" i="1"/>
  <c r="K30" i="1"/>
  <c r="B22" i="1"/>
  <c r="F22" i="1" s="1"/>
  <c r="B24" i="1" s="1"/>
  <c r="F24" i="1" s="1"/>
  <c r="F18" i="1"/>
  <c r="K17" i="1"/>
  <c r="D13" i="1"/>
  <c r="D12" i="1"/>
  <c r="D11" i="1"/>
  <c r="K15" i="1"/>
  <c r="D14" i="1" s="1"/>
  <c r="L14" i="1" s="1"/>
  <c r="D10" i="1"/>
  <c r="L10" i="1" s="1"/>
  <c r="K51" i="1" l="1"/>
  <c r="L12" i="1"/>
  <c r="L11" i="1"/>
  <c r="L13" i="1"/>
  <c r="L9" i="1" l="1"/>
  <c r="F23" i="1" l="1"/>
  <c r="L15" i="1"/>
  <c r="K25" i="1" l="1"/>
  <c r="K52" i="1" s="1"/>
  <c r="K54" i="1" l="1"/>
  <c r="D55" i="1" s="1"/>
  <c r="L55" i="1" s="1"/>
  <c r="L56" i="1" s="1"/>
</calcChain>
</file>

<file path=xl/sharedStrings.xml><?xml version="1.0" encoding="utf-8"?>
<sst xmlns="http://schemas.openxmlformats.org/spreadsheetml/2006/main" count="199" uniqueCount="149">
  <si>
    <t>Personinntekt</t>
  </si>
  <si>
    <t>Skatt og avgift</t>
  </si>
  <si>
    <t>Gr.lag skatt/avgift</t>
  </si>
  <si>
    <t>Hjemmler</t>
  </si>
  <si>
    <t>§§ 12-1 og 12-2</t>
  </si>
  <si>
    <t>Alminnelig inntekt</t>
  </si>
  <si>
    <t>Trygdeavgift</t>
  </si>
  <si>
    <t>x</t>
  </si>
  <si>
    <t>-</t>
  </si>
  <si>
    <t>(</t>
  </si>
  <si>
    <t>)</t>
  </si>
  <si>
    <t>§ 5-20</t>
  </si>
  <si>
    <t>Reiseutgifter, til og fra jobb</t>
  </si>
  <si>
    <t>=</t>
  </si>
  <si>
    <t>km</t>
  </si>
  <si>
    <t>kr</t>
  </si>
  <si>
    <t>"</t>
  </si>
  <si>
    <t>Egenandel</t>
  </si>
  <si>
    <t>§ 6-44</t>
  </si>
  <si>
    <t>Utgangsverdi</t>
  </si>
  <si>
    <t>Inngangsverdi</t>
  </si>
  <si>
    <t>Sum alminnelig inntekt</t>
  </si>
  <si>
    <t>Gr.lag for beregning av skatt på alminnelig inntekt</t>
  </si>
  <si>
    <t>Skatt på alminnelig inntekt</t>
  </si>
  <si>
    <t>Sum skatt og avgift på inntekten</t>
  </si>
  <si>
    <t>Sum personinntekt/skatt på personinntekt</t>
  </si>
  <si>
    <t>§§ 9-1 og 9-2</t>
  </si>
  <si>
    <t>§§ 10-30 - 10-32</t>
  </si>
  <si>
    <t>Lønnsinntekt</t>
  </si>
  <si>
    <t>Opptjente ikke utbetalte feriepenger</t>
  </si>
  <si>
    <t>§ 7-2</t>
  </si>
  <si>
    <t>Individuell pensjonsavtale</t>
  </si>
  <si>
    <t>§ 5-50</t>
  </si>
  <si>
    <t>Renteinntekter</t>
  </si>
  <si>
    <t>§ 2-14, 2. ledd</t>
  </si>
  <si>
    <t>§ 6-50</t>
  </si>
  <si>
    <t>Renteutgifter</t>
  </si>
  <si>
    <t>Påløpte, ikke forfalte</t>
  </si>
  <si>
    <t>Påløpte, forfalte, betalte</t>
  </si>
  <si>
    <t>Foredrefradrag</t>
  </si>
  <si>
    <t>§§ 14-2, 14-3, 1. ledd</t>
  </si>
  <si>
    <t>§§ 6-45 og 6-47</t>
  </si>
  <si>
    <t>§ 6-1, §§ 6-30 - 6-32, sk.ved. § 6-1</t>
  </si>
  <si>
    <t>§ 6-48, sk.ved § 6-2</t>
  </si>
  <si>
    <t>FSFIN § 6-44-1 - § 6-44-4</t>
  </si>
  <si>
    <t>§ 15-4, sk.ved. § 6-3</t>
  </si>
  <si>
    <t>Personfradrag, klasse 1</t>
  </si>
  <si>
    <t>§ 6-80, sk.ved. § 6-6</t>
  </si>
  <si>
    <t>§§ 5-1 og  5-10</t>
  </si>
  <si>
    <t>Av.ved. § 7</t>
  </si>
  <si>
    <t>TR § 1-3-9</t>
  </si>
  <si>
    <t>Påløpte i fjor, forfalt og betalt i år</t>
  </si>
  <si>
    <t>§ 6-40</t>
  </si>
  <si>
    <t>Trinnskatt</t>
  </si>
  <si>
    <t>Sk.ved § 3-1</t>
  </si>
  <si>
    <t>Særfradrag, enslig forsørger (barnetrygden skulle ha vært kr 23 280)</t>
  </si>
  <si>
    <t>Sk.ved. §§ 3-2 og 3-8</t>
  </si>
  <si>
    <t>Oppgaven er løst med hensyn på inntektsåret 2019, men med takseringsreglene for 2018</t>
  </si>
  <si>
    <t>Sensorveiledning til eksamen: Innføring i skatterett, våren 2020</t>
  </si>
  <si>
    <t>Beregnet personinntekt</t>
  </si>
  <si>
    <t>§ 12-10</t>
  </si>
  <si>
    <t>Av.ved. § 8</t>
  </si>
  <si>
    <t>Lønnsinntekt, oveført fra personinntekt</t>
  </si>
  <si>
    <t>Minstefradrag</t>
  </si>
  <si>
    <t>Næringsoverskudd</t>
  </si>
  <si>
    <t>§ 5-30</t>
  </si>
  <si>
    <t>Uttak fra næringsvirksomheten</t>
  </si>
  <si>
    <t>§ 5-2</t>
  </si>
  <si>
    <t xml:space="preserve"> "</t>
  </si>
  <si>
    <t>Fagforeningskontingent</t>
  </si>
  <si>
    <t>§§ 6-18 og 6-20</t>
  </si>
  <si>
    <t>Bo i egen bolig</t>
  </si>
  <si>
    <t>§ 7-1</t>
  </si>
  <si>
    <t>Hvis man ikke har med "Bo i egen bolig" trekkes ikke kandidatene noe</t>
  </si>
  <si>
    <t>Utleieinntekt, fritidsbolig</t>
  </si>
  <si>
    <t>Utleieinntekt, utleiedel</t>
  </si>
  <si>
    <t>Aksjer</t>
  </si>
  <si>
    <t>Foreløpig resultat</t>
  </si>
  <si>
    <t>Ubenyttet skjerming</t>
  </si>
  <si>
    <t>Gevinst/tap</t>
  </si>
  <si>
    <t>Realisasjon</t>
  </si>
  <si>
    <t>Utbytte</t>
  </si>
  <si>
    <t>Skjermingsfradrag</t>
  </si>
  <si>
    <t>Sk.plk.utbytte</t>
  </si>
  <si>
    <t>Barntrygd</t>
  </si>
  <si>
    <t>§ 5-43 1. ledd a)</t>
  </si>
  <si>
    <t>Gevinst "Lotto"</t>
  </si>
  <si>
    <t>Gave, Barnekreftforeningen</t>
  </si>
  <si>
    <t>Formue</t>
  </si>
  <si>
    <t>§ 4-1</t>
  </si>
  <si>
    <t>§ 4-15</t>
  </si>
  <si>
    <t>Kontanter</t>
  </si>
  <si>
    <t>§ 4-20, 1. ledd a)</t>
  </si>
  <si>
    <t>Innbo og løsøre</t>
  </si>
  <si>
    <t>Forsikringssum</t>
  </si>
  <si>
    <t>Av de første</t>
  </si>
  <si>
    <t>Av de neste 400'</t>
  </si>
  <si>
    <t>-Fribeløp i § 4-20, 1. ledd b)</t>
  </si>
  <si>
    <t>Bankinnskudd, næringsvirksomhet</t>
  </si>
  <si>
    <t>Leverandørgjeld</t>
  </si>
  <si>
    <t>Goodwill/forretningsverdi</t>
  </si>
  <si>
    <t>§ 4-2 1. ledd f)</t>
  </si>
  <si>
    <t>Varelager</t>
  </si>
  <si>
    <t xml:space="preserve">Kundefordringer </t>
  </si>
  <si>
    <t>Driftsmidler</t>
  </si>
  <si>
    <t>§ 4-17 1. ledd, § 14-5 2. ledd</t>
  </si>
  <si>
    <t>§ 4-17 2. ledd, TR § 2-1-2</t>
  </si>
  <si>
    <t>Foretaksgjeld</t>
  </si>
  <si>
    <t>Personbil</t>
  </si>
  <si>
    <t>TR 1-1-3</t>
  </si>
  <si>
    <t>Opptjente feriepenger</t>
  </si>
  <si>
    <t>§ 4-2 1. ledd d)</t>
  </si>
  <si>
    <t>Tomannsbolig</t>
  </si>
  <si>
    <t>§ 4-10</t>
  </si>
  <si>
    <t>TR § 1-1-6</t>
  </si>
  <si>
    <t>§ 4-20, 1. ledd b)</t>
  </si>
  <si>
    <t>Fritidsbolig</t>
  </si>
  <si>
    <t>Aksjer, børsnoterte</t>
  </si>
  <si>
    <t>§ 4-12 1. ledd</t>
  </si>
  <si>
    <t>Bankinnskudd, Morten privat</t>
  </si>
  <si>
    <t>Gjeld, privat</t>
  </si>
  <si>
    <t>Sparing, IPS</t>
  </si>
  <si>
    <t>Fin.f. § 4-2-1</t>
  </si>
  <si>
    <t>Nettoformue</t>
  </si>
  <si>
    <t>Fribeløp</t>
  </si>
  <si>
    <t>Gr.lag for beregning av skatt av formue</t>
  </si>
  <si>
    <t>Skatt av formue til stat</t>
  </si>
  <si>
    <t>Sk.ved. § 2-1</t>
  </si>
  <si>
    <t>Skatt av formue til kommune</t>
  </si>
  <si>
    <t>Sk.ved. § 2-3</t>
  </si>
  <si>
    <t>Oppgave 2</t>
  </si>
  <si>
    <t>Aksjeutbytte</t>
  </si>
  <si>
    <t>Utgangsverdi </t>
  </si>
  <si>
    <t>Foreløpig gevinst</t>
  </si>
  <si>
    <t>Skattepliktig gevinst ved salg av aksjene</t>
  </si>
  <si>
    <t>3%-regelen i § 2-38 6. ledd kommer derimot til anvendelse</t>
  </si>
  <si>
    <t>er skattepliktig</t>
  </si>
  <si>
    <t>Synnøve</t>
  </si>
  <si>
    <t>Antonsen</t>
  </si>
  <si>
    <t>-Inngangsverdi</t>
  </si>
  <si>
    <t>-Ubenyttet skjermingsfradrag</t>
  </si>
  <si>
    <t>§§ 5-1, 5-20</t>
  </si>
  <si>
    <t>Kost Invest AS</t>
  </si>
  <si>
    <t>Aksjeutbyttet på kr 50 000 er skattefritt for selskapsaksjonærer, jfr. § 2-38 1. og 2. ledd</t>
  </si>
  <si>
    <t>-Skjermingsfradrag</t>
  </si>
  <si>
    <t>Sk.plk. utbytte før oppjustering</t>
  </si>
  <si>
    <t>§§ 10-11- 10-12</t>
  </si>
  <si>
    <t>Bankinnskudd, Niklas</t>
  </si>
  <si>
    <t>Renteinntekter, Niklas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</si>
</sst>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\ %"/>
  </numFmts>
  <fonts count="1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name val="Arial"/>
      <family val="2"/>
    </font>
    <font>
      <sz val="11"/>
      <name val="Calibri"/>
      <family val="2"/>
      <scheme val="minor"/>
    </font>
    <font>
      <i/>
      <sz val="11"/>
      <name val="Arial"/>
      <family val="2"/>
    </font>
    <font>
      <b/>
      <i/>
      <sz val="11"/>
      <name val="Calibri"/>
      <family val="2"/>
      <scheme val="minor"/>
    </font>
    <font>
      <u/>
      <sz val="11"/>
      <name val="Calibri"/>
      <family val="2"/>
      <scheme val="minor"/>
    </font>
    <font>
      <i/>
      <sz val="11"/>
      <name val="Calibri"/>
      <scheme val="minor"/>
    </font>
    <font>
      <i/>
      <u/>
      <sz val="11"/>
      <name val="Calibri"/>
      <scheme val="minor"/>
    </font>
    <font>
      <i/>
      <sz val="11"/>
      <color rgb="FFFF0000"/>
      <name val="Calibri"/>
      <scheme val="minor"/>
    </font>
    <font>
      <b/>
      <sz val="11"/>
      <name val="Calibri"/>
      <scheme val="minor"/>
    </font>
    <font>
      <i/>
      <sz val="11"/>
      <name val="Calibri"/>
      <family val="2"/>
      <scheme val="minor"/>
    </font>
    <font>
      <u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Helvetica"/>
      <family val="2"/>
    </font>
    <font>
      <b/>
      <u/>
      <sz val="10"/>
      <color theme="1"/>
      <name val="Helvetica"/>
      <family val="2"/>
    </font>
    <font>
      <i/>
      <sz val="10"/>
      <color theme="1"/>
      <name val="Helvetica"/>
      <family val="2"/>
    </font>
    <font>
      <b/>
      <sz val="10"/>
      <color theme="1"/>
      <name val="Helvetic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3" fontId="1" fillId="0" borderId="0" xfId="0" applyNumberFormat="1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center" wrapText="1"/>
    </xf>
    <xf numFmtId="0" fontId="6" fillId="0" borderId="0" xfId="0" applyFont="1"/>
    <xf numFmtId="3" fontId="3" fillId="0" borderId="0" xfId="0" applyNumberFormat="1" applyFont="1"/>
    <xf numFmtId="9" fontId="3" fillId="0" borderId="0" xfId="0" applyNumberFormat="1" applyFont="1"/>
    <xf numFmtId="0" fontId="3" fillId="0" borderId="1" xfId="0" applyFont="1" applyBorder="1"/>
    <xf numFmtId="0" fontId="3" fillId="0" borderId="0" xfId="0" applyFont="1" applyBorder="1"/>
    <xf numFmtId="0" fontId="3" fillId="0" borderId="0" xfId="0" applyFont="1" applyAlignment="1">
      <alignment horizontal="center"/>
    </xf>
    <xf numFmtId="0" fontId="3" fillId="0" borderId="0" xfId="0" applyFont="1" applyFill="1" applyBorder="1"/>
    <xf numFmtId="0" fontId="7" fillId="0" borderId="0" xfId="0" applyFont="1"/>
    <xf numFmtId="0" fontId="8" fillId="0" borderId="0" xfId="0" applyFont="1" applyAlignment="1">
      <alignment horizontal="center" wrapText="1"/>
    </xf>
    <xf numFmtId="3" fontId="7" fillId="0" borderId="0" xfId="0" applyNumberFormat="1" applyFont="1"/>
    <xf numFmtId="3" fontId="7" fillId="0" borderId="1" xfId="0" applyNumberFormat="1" applyFont="1" applyBorder="1"/>
    <xf numFmtId="3" fontId="9" fillId="0" borderId="0" xfId="0" applyNumberFormat="1" applyFont="1" applyBorder="1"/>
    <xf numFmtId="0" fontId="9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Fill="1"/>
    <xf numFmtId="0" fontId="3" fillId="0" borderId="0" xfId="0" applyFont="1" applyFill="1"/>
    <xf numFmtId="0" fontId="7" fillId="0" borderId="0" xfId="0" applyFont="1" applyFill="1"/>
    <xf numFmtId="10" fontId="7" fillId="0" borderId="0" xfId="0" applyNumberFormat="1" applyFont="1"/>
    <xf numFmtId="3" fontId="7" fillId="0" borderId="0" xfId="0" applyNumberFormat="1" applyFont="1" applyFill="1"/>
    <xf numFmtId="0" fontId="10" fillId="0" borderId="0" xfId="0" applyFont="1"/>
    <xf numFmtId="3" fontId="10" fillId="0" borderId="0" xfId="0" applyNumberFormat="1" applyFont="1"/>
    <xf numFmtId="3" fontId="5" fillId="0" borderId="0" xfId="0" applyNumberFormat="1" applyFont="1"/>
    <xf numFmtId="9" fontId="7" fillId="0" borderId="0" xfId="0" applyNumberFormat="1" applyFont="1" applyBorder="1"/>
    <xf numFmtId="0" fontId="7" fillId="0" borderId="0" xfId="0" applyFont="1" applyAlignment="1">
      <alignment horizontal="center"/>
    </xf>
    <xf numFmtId="0" fontId="10" fillId="0" borderId="0" xfId="0" applyFont="1" applyBorder="1"/>
    <xf numFmtId="0" fontId="10" fillId="0" borderId="0" xfId="0" applyFont="1" applyAlignment="1">
      <alignment horizontal="center"/>
    </xf>
    <xf numFmtId="3" fontId="5" fillId="0" borderId="2" xfId="0" applyNumberFormat="1" applyFont="1" applyBorder="1"/>
    <xf numFmtId="3" fontId="3" fillId="0" borderId="1" xfId="0" applyNumberFormat="1" applyFont="1" applyFill="1" applyBorder="1"/>
    <xf numFmtId="0" fontId="6" fillId="0" borderId="0" xfId="0" applyFont="1" applyFill="1"/>
    <xf numFmtId="0" fontId="10" fillId="0" borderId="0" xfId="0" applyFont="1" applyFill="1"/>
    <xf numFmtId="164" fontId="7" fillId="0" borderId="0" xfId="0" applyNumberFormat="1" applyFont="1"/>
    <xf numFmtId="0" fontId="3" fillId="0" borderId="0" xfId="0" applyFont="1" applyAlignment="1">
      <alignment horizontal="center"/>
    </xf>
    <xf numFmtId="9" fontId="3" fillId="0" borderId="0" xfId="0" applyNumberFormat="1" applyFont="1" applyAlignment="1">
      <alignment horizontal="center"/>
    </xf>
    <xf numFmtId="3" fontId="7" fillId="0" borderId="0" xfId="0" applyNumberFormat="1" applyFont="1" applyBorder="1"/>
    <xf numFmtId="3" fontId="3" fillId="0" borderId="1" xfId="0" applyNumberFormat="1" applyFont="1" applyBorder="1"/>
    <xf numFmtId="0" fontId="11" fillId="0" borderId="0" xfId="0" applyFont="1" applyFill="1"/>
    <xf numFmtId="1" fontId="3" fillId="0" borderId="0" xfId="0" applyNumberFormat="1" applyFont="1"/>
    <xf numFmtId="3" fontId="3" fillId="0" borderId="0" xfId="0" applyNumberFormat="1" applyFont="1" applyBorder="1"/>
    <xf numFmtId="0" fontId="12" fillId="0" borderId="0" xfId="0" applyFont="1"/>
    <xf numFmtId="0" fontId="13" fillId="0" borderId="0" xfId="0" applyFont="1"/>
    <xf numFmtId="3" fontId="13" fillId="0" borderId="0" xfId="0" applyNumberFormat="1" applyFont="1"/>
    <xf numFmtId="0" fontId="13" fillId="0" borderId="0" xfId="0" applyFont="1" applyAlignment="1">
      <alignment horizontal="center"/>
    </xf>
    <xf numFmtId="9" fontId="13" fillId="0" borderId="0" xfId="0" applyNumberFormat="1" applyFont="1"/>
    <xf numFmtId="3" fontId="13" fillId="0" borderId="1" xfId="0" applyNumberFormat="1" applyFont="1" applyBorder="1"/>
    <xf numFmtId="0" fontId="13" fillId="0" borderId="0" xfId="0" quotePrefix="1" applyFont="1"/>
    <xf numFmtId="3" fontId="13" fillId="0" borderId="0" xfId="0" applyNumberFormat="1" applyFont="1" applyBorder="1"/>
    <xf numFmtId="10" fontId="11" fillId="0" borderId="0" xfId="0" applyNumberFormat="1" applyFont="1" applyBorder="1"/>
    <xf numFmtId="0" fontId="11" fillId="0" borderId="0" xfId="0" applyFont="1"/>
    <xf numFmtId="0" fontId="15" fillId="0" borderId="0" xfId="0" applyFont="1"/>
    <xf numFmtId="0" fontId="14" fillId="0" borderId="0" xfId="0" applyFont="1"/>
    <xf numFmtId="0" fontId="16" fillId="0" borderId="0" xfId="0" applyFont="1"/>
    <xf numFmtId="9" fontId="14" fillId="0" borderId="0" xfId="0" applyNumberFormat="1" applyFont="1"/>
    <xf numFmtId="0" fontId="17" fillId="0" borderId="0" xfId="0" applyFont="1"/>
    <xf numFmtId="0" fontId="14" fillId="0" borderId="0" xfId="0" quotePrefix="1" applyFont="1"/>
    <xf numFmtId="0" fontId="14" fillId="0" borderId="1" xfId="0" applyFont="1" applyBorder="1"/>
    <xf numFmtId="0" fontId="14" fillId="0" borderId="0" xfId="0" applyFont="1" applyAlignment="1">
      <alignment horizontal="center"/>
    </xf>
    <xf numFmtId="3" fontId="0" fillId="0" borderId="0" xfId="0" applyNumberFormat="1"/>
    <xf numFmtId="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5"/>
  <sheetViews>
    <sheetView tabSelected="1" zoomScaleNormal="100" zoomScalePageLayoutView="150" workbookViewId="0">
      <selection activeCell="A43" sqref="A43"/>
    </sheetView>
  </sheetViews>
  <sheetFormatPr baseColWidth="10" defaultColWidth="10.85546875" defaultRowHeight="15" x14ac:dyDescent="0.25"/>
  <cols>
    <col min="1" max="1" width="17.28515625" style="1" customWidth="1"/>
    <col min="2" max="2" width="15.85546875" style="1" customWidth="1"/>
    <col min="3" max="3" width="1.7109375" style="1" bestFit="1" customWidth="1"/>
    <col min="4" max="4" width="10.85546875" style="1"/>
    <col min="5" max="5" width="2" style="1" bestFit="1" customWidth="1"/>
    <col min="6" max="6" width="8.28515625" style="1" bestFit="1" customWidth="1"/>
    <col min="7" max="7" width="1.7109375" style="1" bestFit="1" customWidth="1"/>
    <col min="8" max="8" width="2.140625" style="1" bestFit="1" customWidth="1"/>
    <col min="9" max="9" width="7.7109375" style="1" bestFit="1" customWidth="1"/>
    <col min="10" max="10" width="7" style="1" customWidth="1"/>
    <col min="11" max="11" width="10" style="1" bestFit="1" customWidth="1"/>
    <col min="12" max="12" width="8.28515625" style="20" bestFit="1" customWidth="1"/>
    <col min="13" max="13" width="27.28515625" style="1" bestFit="1" customWidth="1"/>
    <col min="14" max="16384" width="10.85546875" style="1"/>
  </cols>
  <sheetData>
    <row r="1" spans="1:13" s="4" customFormat="1" ht="18" x14ac:dyDescent="0.25">
      <c r="A1" s="3" t="s">
        <v>58</v>
      </c>
      <c r="L1" s="15"/>
    </row>
    <row r="2" spans="1:13" s="23" customFormat="1" x14ac:dyDescent="0.25">
      <c r="A2" s="22" t="s">
        <v>57</v>
      </c>
      <c r="L2" s="24"/>
    </row>
    <row r="3" spans="1:13" s="4" customFormat="1" x14ac:dyDescent="0.25">
      <c r="A3" s="5"/>
      <c r="L3" s="15"/>
    </row>
    <row r="4" spans="1:13" s="4" customFormat="1" ht="45" x14ac:dyDescent="0.25">
      <c r="A4" s="6"/>
      <c r="K4" s="7" t="s">
        <v>2</v>
      </c>
      <c r="L4" s="16" t="s">
        <v>1</v>
      </c>
      <c r="M4" s="8" t="s">
        <v>3</v>
      </c>
    </row>
    <row r="5" spans="1:13" s="4" customFormat="1" x14ac:dyDescent="0.25">
      <c r="A5" s="36" t="s">
        <v>0</v>
      </c>
      <c r="K5" s="9"/>
      <c r="L5" s="17"/>
      <c r="M5" s="4" t="s">
        <v>4</v>
      </c>
    </row>
    <row r="6" spans="1:13" s="4" customFormat="1" x14ac:dyDescent="0.25">
      <c r="A6" s="23" t="s">
        <v>59</v>
      </c>
      <c r="K6" s="9">
        <v>1050000</v>
      </c>
      <c r="L6" s="17"/>
      <c r="M6" s="4" t="s">
        <v>60</v>
      </c>
    </row>
    <row r="7" spans="1:13" s="4" customFormat="1" x14ac:dyDescent="0.25">
      <c r="A7" s="23" t="s">
        <v>28</v>
      </c>
      <c r="K7" s="9">
        <v>30000</v>
      </c>
      <c r="L7" s="17"/>
      <c r="M7" s="4" t="s">
        <v>48</v>
      </c>
    </row>
    <row r="8" spans="1:13" s="4" customFormat="1" x14ac:dyDescent="0.25">
      <c r="A8" s="23" t="s">
        <v>29</v>
      </c>
      <c r="K8" s="9">
        <v>0</v>
      </c>
      <c r="L8" s="17"/>
      <c r="M8" s="4" t="s">
        <v>40</v>
      </c>
    </row>
    <row r="9" spans="1:13" s="15" customFormat="1" x14ac:dyDescent="0.25">
      <c r="A9" s="24"/>
      <c r="B9" s="15" t="s">
        <v>6</v>
      </c>
      <c r="D9" s="17">
        <v>30000</v>
      </c>
      <c r="E9" s="15" t="s">
        <v>7</v>
      </c>
      <c r="F9" s="25">
        <v>8.2000000000000003E-2</v>
      </c>
      <c r="K9" s="17"/>
      <c r="L9" s="17">
        <f>+D9*F9</f>
        <v>2460</v>
      </c>
      <c r="M9" s="15" t="s">
        <v>49</v>
      </c>
    </row>
    <row r="10" spans="1:13" s="15" customFormat="1" x14ac:dyDescent="0.25">
      <c r="A10" s="24"/>
      <c r="D10" s="17">
        <f>+K6</f>
        <v>1050000</v>
      </c>
      <c r="E10" s="15" t="s">
        <v>7</v>
      </c>
      <c r="F10" s="25">
        <v>0.114</v>
      </c>
      <c r="K10" s="17"/>
      <c r="L10" s="17">
        <f>+D10*F10</f>
        <v>119700</v>
      </c>
      <c r="M10" s="15" t="s">
        <v>61</v>
      </c>
    </row>
    <row r="11" spans="1:13" s="15" customFormat="1" x14ac:dyDescent="0.25">
      <c r="A11" s="24"/>
      <c r="B11" s="15" t="s">
        <v>53</v>
      </c>
      <c r="C11" s="15" t="s">
        <v>9</v>
      </c>
      <c r="D11" s="17">
        <f>+F12</f>
        <v>245650</v>
      </c>
      <c r="E11" s="15" t="s">
        <v>8</v>
      </c>
      <c r="F11" s="26">
        <v>174500</v>
      </c>
      <c r="G11" s="15" t="s">
        <v>10</v>
      </c>
      <c r="H11" s="15" t="s">
        <v>7</v>
      </c>
      <c r="I11" s="38">
        <v>1.9E-2</v>
      </c>
      <c r="J11" s="38"/>
      <c r="K11" s="17"/>
      <c r="L11" s="17">
        <f>+(D11-F11)*I11</f>
        <v>1351.85</v>
      </c>
      <c r="M11" s="15" t="s">
        <v>54</v>
      </c>
    </row>
    <row r="12" spans="1:13" s="15" customFormat="1" x14ac:dyDescent="0.25">
      <c r="A12" s="24"/>
      <c r="C12" s="15" t="s">
        <v>9</v>
      </c>
      <c r="D12" s="17">
        <f>+F13</f>
        <v>617500</v>
      </c>
      <c r="E12" s="15" t="s">
        <v>8</v>
      </c>
      <c r="F12" s="26">
        <v>245650</v>
      </c>
      <c r="G12" s="15" t="s">
        <v>10</v>
      </c>
      <c r="H12" s="15" t="s">
        <v>7</v>
      </c>
      <c r="I12" s="38">
        <v>4.2000000000000003E-2</v>
      </c>
      <c r="J12" s="38"/>
      <c r="K12" s="17"/>
      <c r="L12" s="17">
        <f>+(D12-F12)*I12</f>
        <v>15617.7</v>
      </c>
    </row>
    <row r="13" spans="1:13" s="15" customFormat="1" x14ac:dyDescent="0.25">
      <c r="A13" s="24"/>
      <c r="C13" s="15" t="s">
        <v>9</v>
      </c>
      <c r="D13" s="17">
        <f>+F14</f>
        <v>964800</v>
      </c>
      <c r="E13" s="15" t="s">
        <v>8</v>
      </c>
      <c r="F13" s="26">
        <v>617500</v>
      </c>
      <c r="G13" s="15" t="s">
        <v>10</v>
      </c>
      <c r="H13" s="15" t="s">
        <v>7</v>
      </c>
      <c r="I13" s="38">
        <v>0.13200000000000001</v>
      </c>
      <c r="J13" s="38"/>
      <c r="K13" s="41"/>
      <c r="L13" s="41">
        <f>+(D13-F13)*I13</f>
        <v>45843.6</v>
      </c>
    </row>
    <row r="14" spans="1:13" s="15" customFormat="1" x14ac:dyDescent="0.25">
      <c r="A14" s="24"/>
      <c r="C14" s="15" t="s">
        <v>9</v>
      </c>
      <c r="D14" s="17">
        <f>+K15</f>
        <v>1080000</v>
      </c>
      <c r="E14" s="15" t="s">
        <v>8</v>
      </c>
      <c r="F14" s="26">
        <v>964800</v>
      </c>
      <c r="G14" s="15" t="s">
        <v>10</v>
      </c>
      <c r="H14" s="15" t="s">
        <v>7</v>
      </c>
      <c r="I14" s="38">
        <v>0.16200000000000001</v>
      </c>
      <c r="J14" s="38"/>
      <c r="K14" s="18"/>
      <c r="L14" s="18">
        <f>+(D14-F14)*I14</f>
        <v>18662.400000000001</v>
      </c>
    </row>
    <row r="15" spans="1:13" s="27" customFormat="1" x14ac:dyDescent="0.25">
      <c r="A15" s="37" t="s">
        <v>25</v>
      </c>
      <c r="K15" s="28">
        <f>SUM(K6:K13)</f>
        <v>1080000</v>
      </c>
      <c r="L15" s="29">
        <f>SUM(L7:L13)</f>
        <v>184973.15000000002</v>
      </c>
    </row>
    <row r="16" spans="1:13" s="4" customFormat="1" x14ac:dyDescent="0.25">
      <c r="A16" s="36" t="s">
        <v>5</v>
      </c>
      <c r="K16" s="9"/>
      <c r="L16" s="17"/>
    </row>
    <row r="17" spans="1:13" s="4" customFormat="1" x14ac:dyDescent="0.25">
      <c r="A17" s="23" t="s">
        <v>62</v>
      </c>
      <c r="K17" s="9">
        <f>+K7</f>
        <v>30000</v>
      </c>
      <c r="L17" s="17"/>
    </row>
    <row r="18" spans="1:13" s="4" customFormat="1" x14ac:dyDescent="0.25">
      <c r="A18" s="23" t="s">
        <v>63</v>
      </c>
      <c r="B18" s="23"/>
      <c r="C18" s="23"/>
      <c r="D18" s="23"/>
      <c r="E18" s="23"/>
      <c r="F18" s="9">
        <f>+K7</f>
        <v>30000</v>
      </c>
      <c r="G18" s="4" t="s">
        <v>7</v>
      </c>
      <c r="H18" s="65">
        <v>0.45</v>
      </c>
      <c r="I18" s="66"/>
      <c r="J18" s="39"/>
      <c r="K18" s="9">
        <v>-30000</v>
      </c>
      <c r="L18" s="17"/>
      <c r="M18" s="4" t="s">
        <v>42</v>
      </c>
    </row>
    <row r="19" spans="1:13" s="4" customFormat="1" x14ac:dyDescent="0.25">
      <c r="A19" s="23" t="s">
        <v>64</v>
      </c>
      <c r="B19" s="23"/>
      <c r="C19" s="23"/>
      <c r="D19" s="23"/>
      <c r="E19" s="23"/>
      <c r="F19" s="9"/>
      <c r="H19" s="40"/>
      <c r="I19" s="39"/>
      <c r="J19" s="39"/>
      <c r="K19" s="9">
        <v>1200000</v>
      </c>
      <c r="L19" s="17"/>
      <c r="M19" s="4" t="s">
        <v>65</v>
      </c>
    </row>
    <row r="20" spans="1:13" s="4" customFormat="1" x14ac:dyDescent="0.25">
      <c r="A20" s="23" t="s">
        <v>66</v>
      </c>
      <c r="B20" s="23"/>
      <c r="C20" s="23"/>
      <c r="D20" s="23"/>
      <c r="E20" s="23"/>
      <c r="F20" s="9"/>
      <c r="H20" s="40"/>
      <c r="I20" s="39"/>
      <c r="J20" s="39"/>
      <c r="K20" s="9">
        <v>50000</v>
      </c>
      <c r="L20" s="17"/>
      <c r="M20" s="4" t="s">
        <v>67</v>
      </c>
    </row>
    <row r="21" spans="1:13" s="4" customFormat="1" x14ac:dyDescent="0.25">
      <c r="A21" s="23" t="s">
        <v>12</v>
      </c>
      <c r="K21" s="9"/>
      <c r="L21" s="17"/>
      <c r="M21" s="4" t="s">
        <v>18</v>
      </c>
    </row>
    <row r="22" spans="1:13" s="4" customFormat="1" x14ac:dyDescent="0.25">
      <c r="A22" s="23"/>
      <c r="B22" s="4">
        <f>115*2</f>
        <v>230</v>
      </c>
      <c r="C22" s="4" t="s">
        <v>7</v>
      </c>
      <c r="D22" s="4">
        <v>230</v>
      </c>
      <c r="E22" s="4" t="s">
        <v>13</v>
      </c>
      <c r="F22" s="4">
        <f>+B22*D22</f>
        <v>52900</v>
      </c>
      <c r="G22" s="4" t="s">
        <v>14</v>
      </c>
      <c r="K22" s="9"/>
      <c r="L22" s="17"/>
      <c r="M22" s="4" t="s">
        <v>44</v>
      </c>
    </row>
    <row r="23" spans="1:13" s="4" customFormat="1" x14ac:dyDescent="0.25">
      <c r="A23" s="23"/>
      <c r="B23" s="4">
        <v>50000</v>
      </c>
      <c r="C23" s="4" t="s">
        <v>7</v>
      </c>
      <c r="D23" s="4">
        <v>1.56</v>
      </c>
      <c r="E23" s="4" t="s">
        <v>13</v>
      </c>
      <c r="F23" s="4">
        <f>+B23*D23</f>
        <v>78000</v>
      </c>
      <c r="G23" s="4" t="s">
        <v>15</v>
      </c>
      <c r="K23" s="9"/>
      <c r="L23" s="17"/>
      <c r="M23" s="4" t="s">
        <v>50</v>
      </c>
    </row>
    <row r="24" spans="1:13" s="4" customFormat="1" x14ac:dyDescent="0.25">
      <c r="A24" s="23"/>
      <c r="B24" s="4">
        <f>+F22-B23</f>
        <v>2900</v>
      </c>
      <c r="C24" s="4" t="s">
        <v>7</v>
      </c>
      <c r="D24" s="4">
        <v>0.76</v>
      </c>
      <c r="E24" s="4" t="s">
        <v>13</v>
      </c>
      <c r="F24" s="4">
        <f>+B24*D24</f>
        <v>2204</v>
      </c>
      <c r="G24" s="4" t="s">
        <v>68</v>
      </c>
      <c r="K24" s="9"/>
      <c r="L24" s="17"/>
    </row>
    <row r="25" spans="1:13" s="4" customFormat="1" x14ac:dyDescent="0.25">
      <c r="A25" s="23" t="s">
        <v>17</v>
      </c>
      <c r="F25" s="11">
        <v>-22700</v>
      </c>
      <c r="G25" s="4" t="s">
        <v>16</v>
      </c>
      <c r="K25" s="9">
        <f>-F23-F24-F25</f>
        <v>-57504</v>
      </c>
      <c r="L25" s="17"/>
    </row>
    <row r="26" spans="1:13" s="4" customFormat="1" x14ac:dyDescent="0.25">
      <c r="A26" s="23" t="s">
        <v>69</v>
      </c>
      <c r="B26" s="23"/>
      <c r="C26" s="23"/>
      <c r="D26" s="23"/>
      <c r="E26" s="23"/>
      <c r="F26" s="9"/>
      <c r="H26" s="40"/>
      <c r="I26" s="39"/>
      <c r="J26" s="39"/>
      <c r="K26" s="9">
        <v>-3850</v>
      </c>
      <c r="L26" s="17"/>
      <c r="M26" s="4" t="s">
        <v>70</v>
      </c>
    </row>
    <row r="27" spans="1:13" s="4" customFormat="1" x14ac:dyDescent="0.25">
      <c r="A27" s="23" t="s">
        <v>71</v>
      </c>
      <c r="B27" s="23"/>
      <c r="C27" s="23"/>
      <c r="D27" s="23"/>
      <c r="E27" s="23"/>
      <c r="F27" s="9"/>
      <c r="H27" s="40"/>
      <c r="I27" s="39"/>
      <c r="J27" s="39"/>
      <c r="K27" s="9">
        <v>0</v>
      </c>
      <c r="L27" s="17"/>
      <c r="M27" s="4" t="s">
        <v>72</v>
      </c>
    </row>
    <row r="28" spans="1:13" s="4" customFormat="1" x14ac:dyDescent="0.25">
      <c r="A28" s="43" t="s">
        <v>73</v>
      </c>
      <c r="B28" s="23"/>
      <c r="C28" s="23"/>
      <c r="D28" s="23"/>
      <c r="E28" s="23"/>
      <c r="F28" s="9"/>
      <c r="H28" s="40"/>
      <c r="I28" s="39"/>
      <c r="J28" s="39"/>
      <c r="K28" s="9"/>
      <c r="L28" s="17"/>
    </row>
    <row r="29" spans="1:13" s="4" customFormat="1" x14ac:dyDescent="0.25">
      <c r="A29" s="23" t="s">
        <v>75</v>
      </c>
      <c r="K29" s="9">
        <v>0</v>
      </c>
      <c r="L29" s="17"/>
      <c r="M29" s="4" t="s">
        <v>30</v>
      </c>
    </row>
    <row r="30" spans="1:13" s="4" customFormat="1" x14ac:dyDescent="0.25">
      <c r="A30" s="23" t="s">
        <v>74</v>
      </c>
      <c r="C30" s="4" t="s">
        <v>9</v>
      </c>
      <c r="D30" s="4">
        <v>55000</v>
      </c>
      <c r="E30" s="4" t="s">
        <v>8</v>
      </c>
      <c r="F30" s="4">
        <v>10000</v>
      </c>
      <c r="G30" s="4" t="s">
        <v>10</v>
      </c>
      <c r="H30" s="4" t="s">
        <v>7</v>
      </c>
      <c r="I30" s="10">
        <v>0.85</v>
      </c>
      <c r="J30" s="10"/>
      <c r="K30" s="9">
        <f>+(D30-F30)*I30</f>
        <v>38250</v>
      </c>
      <c r="L30" s="17"/>
    </row>
    <row r="31" spans="1:13" s="4" customFormat="1" x14ac:dyDescent="0.25">
      <c r="A31" s="23" t="s">
        <v>76</v>
      </c>
      <c r="B31" s="4" t="s">
        <v>80</v>
      </c>
      <c r="I31" s="10"/>
      <c r="J31" s="10"/>
      <c r="K31" s="9"/>
      <c r="L31" s="17"/>
    </row>
    <row r="32" spans="1:13" s="4" customFormat="1" x14ac:dyDescent="0.25">
      <c r="B32" s="4" t="s">
        <v>19</v>
      </c>
      <c r="D32" s="4">
        <v>50000</v>
      </c>
      <c r="K32" s="9"/>
      <c r="L32" s="17"/>
      <c r="M32" s="4" t="s">
        <v>27</v>
      </c>
    </row>
    <row r="33" spans="1:13" s="4" customFormat="1" x14ac:dyDescent="0.25">
      <c r="A33" s="23"/>
      <c r="B33" s="4" t="s">
        <v>20</v>
      </c>
      <c r="D33" s="11">
        <v>45000</v>
      </c>
      <c r="K33" s="9"/>
      <c r="L33" s="17"/>
      <c r="M33" s="4" t="s">
        <v>26</v>
      </c>
    </row>
    <row r="34" spans="1:13" s="4" customFormat="1" x14ac:dyDescent="0.25">
      <c r="A34" s="23"/>
      <c r="B34" s="4" t="s">
        <v>77</v>
      </c>
      <c r="D34" s="4">
        <f>+D32-D33</f>
        <v>5000</v>
      </c>
      <c r="K34" s="9"/>
      <c r="L34" s="17"/>
    </row>
    <row r="35" spans="1:13" s="4" customFormat="1" x14ac:dyDescent="0.25">
      <c r="A35" s="23"/>
      <c r="B35" s="4" t="s">
        <v>78</v>
      </c>
      <c r="D35" s="11">
        <v>-6000</v>
      </c>
      <c r="K35" s="9"/>
      <c r="L35" s="17"/>
    </row>
    <row r="36" spans="1:13" s="4" customFormat="1" x14ac:dyDescent="0.25">
      <c r="A36" s="23"/>
      <c r="B36" s="4" t="s">
        <v>79</v>
      </c>
      <c r="D36" s="4">
        <v>0</v>
      </c>
      <c r="H36" s="4" t="s">
        <v>7</v>
      </c>
      <c r="I36" s="4">
        <v>1.44</v>
      </c>
      <c r="K36" s="9">
        <f>+D36*I36</f>
        <v>0</v>
      </c>
      <c r="L36" s="17"/>
    </row>
    <row r="37" spans="1:13" s="4" customFormat="1" x14ac:dyDescent="0.25">
      <c r="A37" s="23" t="s">
        <v>76</v>
      </c>
      <c r="B37" s="4" t="s">
        <v>81</v>
      </c>
      <c r="D37" s="4">
        <v>8000</v>
      </c>
      <c r="K37" s="9"/>
      <c r="L37" s="17"/>
    </row>
    <row r="38" spans="1:13" s="4" customFormat="1" x14ac:dyDescent="0.25">
      <c r="A38" s="23"/>
      <c r="B38" s="4" t="s">
        <v>82</v>
      </c>
      <c r="D38" s="44">
        <f>-(225000-D39)*1.5%</f>
        <v>-3425.625</v>
      </c>
      <c r="K38" s="9"/>
      <c r="L38" s="17"/>
    </row>
    <row r="39" spans="1:13" s="4" customFormat="1" x14ac:dyDescent="0.25">
      <c r="A39" s="23"/>
      <c r="B39" s="4" t="s">
        <v>78</v>
      </c>
      <c r="D39" s="11">
        <f>-225000*1.5%</f>
        <v>-3375</v>
      </c>
      <c r="K39" s="9"/>
      <c r="L39" s="17"/>
    </row>
    <row r="40" spans="1:13" s="4" customFormat="1" x14ac:dyDescent="0.25">
      <c r="A40" s="23"/>
      <c r="B40" s="4" t="s">
        <v>83</v>
      </c>
      <c r="D40" s="44">
        <f>+D37+D38+D39</f>
        <v>1199.375</v>
      </c>
      <c r="H40" s="4" t="s">
        <v>7</v>
      </c>
      <c r="I40" s="4">
        <v>1.44</v>
      </c>
      <c r="K40" s="9">
        <f>+D40*I40</f>
        <v>1727.1</v>
      </c>
      <c r="L40" s="17"/>
    </row>
    <row r="41" spans="1:13" s="4" customFormat="1" x14ac:dyDescent="0.25">
      <c r="A41" s="23" t="s">
        <v>33</v>
      </c>
      <c r="K41" s="9">
        <v>4500</v>
      </c>
      <c r="L41" s="17"/>
      <c r="M41" s="4" t="s">
        <v>11</v>
      </c>
    </row>
    <row r="42" spans="1:13" s="4" customFormat="1" x14ac:dyDescent="0.25">
      <c r="A42" s="23" t="s">
        <v>148</v>
      </c>
      <c r="K42" s="9">
        <v>600</v>
      </c>
      <c r="L42" s="17"/>
      <c r="M42" s="4" t="s">
        <v>34</v>
      </c>
    </row>
    <row r="43" spans="1:13" s="4" customFormat="1" x14ac:dyDescent="0.25">
      <c r="A43" s="23" t="s">
        <v>36</v>
      </c>
      <c r="D43" s="4" t="s">
        <v>51</v>
      </c>
      <c r="K43" s="4">
        <v>0</v>
      </c>
      <c r="M43" s="4" t="s">
        <v>52</v>
      </c>
    </row>
    <row r="44" spans="1:13" s="4" customFormat="1" x14ac:dyDescent="0.25">
      <c r="A44" s="23"/>
      <c r="D44" s="9" t="s">
        <v>38</v>
      </c>
      <c r="F44" s="9"/>
      <c r="H44" s="9"/>
      <c r="K44" s="9">
        <v>-35650</v>
      </c>
      <c r="L44" s="17"/>
    </row>
    <row r="45" spans="1:13" s="4" customFormat="1" x14ac:dyDescent="0.25">
      <c r="A45" s="23"/>
      <c r="D45" s="9" t="s">
        <v>37</v>
      </c>
      <c r="F45" s="9"/>
      <c r="H45" s="9"/>
      <c r="K45" s="9">
        <v>-1350</v>
      </c>
      <c r="L45" s="17"/>
    </row>
    <row r="46" spans="1:13" s="4" customFormat="1" x14ac:dyDescent="0.25">
      <c r="A46" s="23" t="s">
        <v>31</v>
      </c>
      <c r="K46" s="9">
        <v>-40000</v>
      </c>
      <c r="L46" s="17"/>
      <c r="M46" s="4" t="s">
        <v>41</v>
      </c>
    </row>
    <row r="47" spans="1:13" s="4" customFormat="1" x14ac:dyDescent="0.25">
      <c r="A47" s="23" t="s">
        <v>86</v>
      </c>
      <c r="K47" s="9">
        <v>0</v>
      </c>
      <c r="L47" s="17"/>
      <c r="M47" s="4" t="s">
        <v>32</v>
      </c>
    </row>
    <row r="48" spans="1:13" s="4" customFormat="1" x14ac:dyDescent="0.25">
      <c r="A48" s="23" t="s">
        <v>87</v>
      </c>
      <c r="K48" s="9">
        <v>-35000</v>
      </c>
      <c r="L48" s="17"/>
      <c r="M48" s="4" t="s">
        <v>35</v>
      </c>
    </row>
    <row r="49" spans="1:13" s="4" customFormat="1" x14ac:dyDescent="0.25">
      <c r="A49" s="23" t="s">
        <v>39</v>
      </c>
      <c r="D49" s="9"/>
      <c r="F49" s="9"/>
      <c r="H49" s="9"/>
      <c r="K49" s="9">
        <v>-25000</v>
      </c>
      <c r="L49" s="17"/>
      <c r="M49" s="4" t="s">
        <v>43</v>
      </c>
    </row>
    <row r="50" spans="1:13" s="4" customFormat="1" x14ac:dyDescent="0.25">
      <c r="A50" s="23" t="s">
        <v>84</v>
      </c>
      <c r="F50" s="12"/>
      <c r="H50" s="39"/>
      <c r="I50" s="39"/>
      <c r="J50" s="39"/>
      <c r="K50" s="9">
        <v>0</v>
      </c>
      <c r="L50" s="17"/>
      <c r="M50" s="4" t="s">
        <v>85</v>
      </c>
    </row>
    <row r="51" spans="1:13" s="4" customFormat="1" x14ac:dyDescent="0.25">
      <c r="A51" s="23" t="s">
        <v>55</v>
      </c>
      <c r="F51" s="12"/>
      <c r="H51" s="21"/>
      <c r="I51" s="21"/>
      <c r="J51" s="39"/>
      <c r="K51" s="42">
        <f>-4317*12</f>
        <v>-51804</v>
      </c>
      <c r="L51" s="17"/>
      <c r="M51" s="4" t="s">
        <v>47</v>
      </c>
    </row>
    <row r="52" spans="1:13" s="4" customFormat="1" x14ac:dyDescent="0.25">
      <c r="A52" s="23" t="s">
        <v>21</v>
      </c>
      <c r="F52" s="12"/>
      <c r="H52" s="13"/>
      <c r="I52" s="13"/>
      <c r="J52" s="39"/>
      <c r="K52" s="45">
        <f>SUM(K16:K51)</f>
        <v>1044919.1000000001</v>
      </c>
      <c r="L52" s="17"/>
    </row>
    <row r="53" spans="1:13" s="4" customFormat="1" x14ac:dyDescent="0.25">
      <c r="A53" s="23" t="s">
        <v>46</v>
      </c>
      <c r="F53" s="12"/>
      <c r="H53" s="13"/>
      <c r="I53" s="13"/>
      <c r="J53" s="39"/>
      <c r="K53" s="35">
        <v>-56550</v>
      </c>
      <c r="L53" s="17"/>
      <c r="M53" s="4" t="s">
        <v>45</v>
      </c>
    </row>
    <row r="54" spans="1:13" s="4" customFormat="1" x14ac:dyDescent="0.25">
      <c r="A54" s="23" t="s">
        <v>22</v>
      </c>
      <c r="F54" s="12"/>
      <c r="H54" s="13"/>
      <c r="I54" s="13"/>
      <c r="J54" s="39"/>
      <c r="K54" s="9">
        <f>SUM(K52:K53)</f>
        <v>988369.10000000009</v>
      </c>
      <c r="L54" s="17"/>
    </row>
    <row r="55" spans="1:13" s="15" customFormat="1" x14ac:dyDescent="0.25">
      <c r="A55" s="24" t="s">
        <v>23</v>
      </c>
      <c r="D55" s="17">
        <f>+K54</f>
        <v>988369.10000000009</v>
      </c>
      <c r="E55" s="15" t="s">
        <v>7</v>
      </c>
      <c r="F55" s="30">
        <v>0.22</v>
      </c>
      <c r="H55" s="31"/>
      <c r="I55" s="31"/>
      <c r="J55" s="31"/>
      <c r="K55" s="17"/>
      <c r="L55" s="18">
        <f>+D55*F55</f>
        <v>217441.20200000002</v>
      </c>
      <c r="M55" s="15" t="s">
        <v>56</v>
      </c>
    </row>
    <row r="56" spans="1:13" s="27" customFormat="1" x14ac:dyDescent="0.25">
      <c r="A56" s="27" t="s">
        <v>24</v>
      </c>
      <c r="F56" s="32"/>
      <c r="H56" s="33"/>
      <c r="I56" s="33"/>
      <c r="J56" s="33"/>
      <c r="K56" s="28"/>
      <c r="L56" s="34">
        <f>SUM(L15:L55)</f>
        <v>402414.35200000007</v>
      </c>
    </row>
    <row r="57" spans="1:13" x14ac:dyDescent="0.25">
      <c r="K57" s="2"/>
      <c r="L57" s="19"/>
    </row>
    <row r="58" spans="1:13" x14ac:dyDescent="0.25">
      <c r="A58" s="4"/>
      <c r="B58" s="4"/>
      <c r="C58" s="4"/>
      <c r="D58" s="4"/>
      <c r="E58" s="4"/>
      <c r="F58" s="14"/>
    </row>
    <row r="59" spans="1:13" x14ac:dyDescent="0.25">
      <c r="A59" s="46" t="s">
        <v>88</v>
      </c>
      <c r="B59" s="47"/>
      <c r="C59" s="47"/>
      <c r="D59" s="47"/>
      <c r="E59" s="47"/>
      <c r="F59" s="47"/>
      <c r="G59" s="47"/>
      <c r="H59" s="47"/>
      <c r="I59" s="47"/>
      <c r="J59" s="47"/>
      <c r="K59" s="48"/>
      <c r="L59" s="48"/>
      <c r="M59" s="47" t="s">
        <v>89</v>
      </c>
    </row>
    <row r="60" spans="1:13" x14ac:dyDescent="0.25">
      <c r="A60" s="47" t="s">
        <v>91</v>
      </c>
      <c r="B60" s="47"/>
      <c r="C60" s="47"/>
      <c r="D60" s="48">
        <v>25000</v>
      </c>
      <c r="E60" s="47" t="s">
        <v>8</v>
      </c>
      <c r="F60" s="48">
        <v>3000</v>
      </c>
      <c r="G60" s="47"/>
      <c r="H60" s="47"/>
      <c r="I60" s="47"/>
      <c r="J60" s="47"/>
      <c r="K60" s="48">
        <f>+D60-F60</f>
        <v>22000</v>
      </c>
      <c r="L60" s="48"/>
      <c r="M60" s="47" t="s">
        <v>92</v>
      </c>
    </row>
    <row r="61" spans="1:13" x14ac:dyDescent="0.25">
      <c r="A61" s="47" t="s">
        <v>98</v>
      </c>
      <c r="B61" s="47"/>
      <c r="C61" s="47"/>
      <c r="D61" s="47"/>
      <c r="E61" s="47"/>
      <c r="F61" s="47"/>
      <c r="G61" s="47"/>
      <c r="H61" s="47"/>
      <c r="I61" s="47"/>
      <c r="J61" s="47"/>
      <c r="K61" s="48">
        <v>1500000</v>
      </c>
      <c r="L61" s="48"/>
      <c r="M61" s="47" t="s">
        <v>90</v>
      </c>
    </row>
    <row r="62" spans="1:13" x14ac:dyDescent="0.25">
      <c r="A62" s="47" t="s">
        <v>99</v>
      </c>
      <c r="B62" s="47"/>
      <c r="C62" s="47"/>
      <c r="D62" s="47"/>
      <c r="E62" s="47"/>
      <c r="F62" s="47"/>
      <c r="G62" s="47"/>
      <c r="H62" s="47"/>
      <c r="I62" s="47"/>
      <c r="J62" s="47"/>
      <c r="K62" s="48">
        <v>-900000</v>
      </c>
      <c r="L62" s="48"/>
      <c r="M62" s="47"/>
    </row>
    <row r="63" spans="1:13" x14ac:dyDescent="0.25">
      <c r="A63" s="47" t="s">
        <v>100</v>
      </c>
      <c r="B63" s="47"/>
      <c r="C63" s="47"/>
      <c r="D63" s="47"/>
      <c r="E63" s="47"/>
      <c r="F63" s="47"/>
      <c r="G63" s="47"/>
      <c r="H63" s="47"/>
      <c r="I63" s="47"/>
      <c r="J63" s="47"/>
      <c r="K63" s="48">
        <v>0</v>
      </c>
      <c r="L63" s="48"/>
      <c r="M63" s="47" t="s">
        <v>101</v>
      </c>
    </row>
    <row r="64" spans="1:13" x14ac:dyDescent="0.25">
      <c r="A64" s="47" t="s">
        <v>102</v>
      </c>
      <c r="B64" s="47"/>
      <c r="C64" s="47"/>
      <c r="D64" s="47"/>
      <c r="E64" s="47"/>
      <c r="F64" s="47"/>
      <c r="G64" s="47"/>
      <c r="H64" s="47"/>
      <c r="I64" s="47"/>
      <c r="J64" s="47"/>
      <c r="K64" s="48">
        <v>1100000</v>
      </c>
      <c r="L64" s="48"/>
      <c r="M64" s="47" t="s">
        <v>105</v>
      </c>
    </row>
    <row r="65" spans="1:13" x14ac:dyDescent="0.25">
      <c r="A65" s="47" t="s">
        <v>103</v>
      </c>
      <c r="B65" s="47"/>
      <c r="C65" s="47"/>
      <c r="D65" s="47"/>
      <c r="E65" s="47"/>
      <c r="F65" s="47"/>
      <c r="G65" s="47"/>
      <c r="H65" s="47"/>
      <c r="I65" s="47"/>
      <c r="J65" s="47"/>
      <c r="K65" s="48">
        <v>545000</v>
      </c>
      <c r="L65" s="48"/>
      <c r="M65" s="47"/>
    </row>
    <row r="66" spans="1:13" x14ac:dyDescent="0.25">
      <c r="A66" s="47" t="s">
        <v>104</v>
      </c>
      <c r="B66" s="47"/>
      <c r="C66" s="47"/>
      <c r="D66" s="48">
        <v>2000000</v>
      </c>
      <c r="E66" s="47" t="s">
        <v>7</v>
      </c>
      <c r="F66" s="50">
        <v>0.75</v>
      </c>
      <c r="G66" s="47"/>
      <c r="H66" s="47"/>
      <c r="I66" s="47"/>
      <c r="J66" s="47"/>
      <c r="K66" s="48">
        <f>+D66*F66</f>
        <v>1500000</v>
      </c>
      <c r="L66" s="48"/>
      <c r="M66" s="47" t="s">
        <v>106</v>
      </c>
    </row>
    <row r="67" spans="1:13" x14ac:dyDescent="0.25">
      <c r="A67" s="47" t="s">
        <v>107</v>
      </c>
      <c r="B67" s="47"/>
      <c r="C67" s="47"/>
      <c r="D67" s="47"/>
      <c r="E67" s="47"/>
      <c r="F67" s="47"/>
      <c r="G67" s="47"/>
      <c r="H67" s="47"/>
      <c r="I67" s="47"/>
      <c r="J67" s="47"/>
      <c r="K67" s="48">
        <v>-1000000</v>
      </c>
      <c r="L67" s="48"/>
      <c r="M67" s="47"/>
    </row>
    <row r="68" spans="1:13" x14ac:dyDescent="0.25">
      <c r="A68" s="47" t="s">
        <v>108</v>
      </c>
      <c r="B68" s="47"/>
      <c r="C68" s="47"/>
      <c r="D68" s="48">
        <v>380900</v>
      </c>
      <c r="E68" s="47" t="s">
        <v>7</v>
      </c>
      <c r="F68" s="50">
        <v>0.75</v>
      </c>
      <c r="G68" s="47"/>
      <c r="H68" s="47"/>
      <c r="I68" s="47"/>
      <c r="J68" s="47"/>
      <c r="K68" s="48">
        <f>+D68*F68</f>
        <v>285675</v>
      </c>
      <c r="L68" s="48"/>
      <c r="M68" s="47" t="s">
        <v>109</v>
      </c>
    </row>
    <row r="69" spans="1:13" x14ac:dyDescent="0.25">
      <c r="A69" s="47" t="s">
        <v>110</v>
      </c>
      <c r="B69" s="47"/>
      <c r="C69" s="47"/>
      <c r="D69" s="47"/>
      <c r="E69" s="47"/>
      <c r="F69" s="47"/>
      <c r="G69" s="47"/>
      <c r="H69" s="47"/>
      <c r="I69" s="47"/>
      <c r="J69" s="47"/>
      <c r="K69" s="48">
        <v>0</v>
      </c>
      <c r="L69" s="48"/>
      <c r="M69" s="47" t="s">
        <v>111</v>
      </c>
    </row>
    <row r="70" spans="1:13" x14ac:dyDescent="0.25">
      <c r="A70" s="47" t="s">
        <v>112</v>
      </c>
      <c r="B70" s="47"/>
      <c r="C70" s="47"/>
      <c r="D70" s="47"/>
      <c r="E70" s="47"/>
      <c r="F70" s="47"/>
      <c r="G70" s="47"/>
      <c r="H70" s="47"/>
      <c r="I70" s="47"/>
      <c r="J70" s="47"/>
      <c r="K70" s="48">
        <v>2250000</v>
      </c>
      <c r="L70" s="48"/>
      <c r="M70" s="47" t="s">
        <v>113</v>
      </c>
    </row>
    <row r="71" spans="1:13" x14ac:dyDescent="0.25">
      <c r="A71" s="47" t="s">
        <v>93</v>
      </c>
      <c r="B71" s="47" t="s">
        <v>94</v>
      </c>
      <c r="C71" s="47"/>
      <c r="D71" s="48">
        <v>1250000</v>
      </c>
      <c r="E71" s="48"/>
      <c r="F71" s="47"/>
      <c r="G71" s="47"/>
      <c r="H71" s="47"/>
      <c r="I71" s="47"/>
      <c r="J71" s="47"/>
      <c r="K71" s="48"/>
      <c r="L71" s="48"/>
      <c r="M71" s="47" t="s">
        <v>115</v>
      </c>
    </row>
    <row r="72" spans="1:13" x14ac:dyDescent="0.25">
      <c r="A72" s="47"/>
      <c r="B72" s="47" t="s">
        <v>95</v>
      </c>
      <c r="C72" s="47"/>
      <c r="D72" s="48">
        <v>1000000</v>
      </c>
      <c r="E72" s="49" t="s">
        <v>7</v>
      </c>
      <c r="F72" s="50">
        <v>0.1</v>
      </c>
      <c r="G72" s="47" t="s">
        <v>13</v>
      </c>
      <c r="H72" s="47"/>
      <c r="I72" s="48">
        <f>+D72*F72</f>
        <v>100000</v>
      </c>
      <c r="J72" s="48"/>
      <c r="K72" s="48"/>
      <c r="L72" s="48"/>
      <c r="M72" s="47" t="s">
        <v>114</v>
      </c>
    </row>
    <row r="73" spans="1:13" x14ac:dyDescent="0.25">
      <c r="A73" s="47"/>
      <c r="B73" s="47" t="s">
        <v>96</v>
      </c>
      <c r="C73" s="47"/>
      <c r="D73" s="48">
        <f>+D71-D72</f>
        <v>250000</v>
      </c>
      <c r="E73" s="49" t="s">
        <v>7</v>
      </c>
      <c r="F73" s="50">
        <v>0.2</v>
      </c>
      <c r="G73" s="47" t="s">
        <v>13</v>
      </c>
      <c r="H73" s="47"/>
      <c r="I73" s="53">
        <f>+D73*F73</f>
        <v>50000</v>
      </c>
      <c r="J73" s="53"/>
      <c r="K73" s="48"/>
      <c r="L73" s="48"/>
      <c r="M73" s="47"/>
    </row>
    <row r="74" spans="1:13" x14ac:dyDescent="0.25">
      <c r="A74" s="47"/>
      <c r="B74" s="52" t="s">
        <v>97</v>
      </c>
      <c r="C74" s="47"/>
      <c r="D74" s="48"/>
      <c r="E74" s="47"/>
      <c r="F74" s="47"/>
      <c r="G74" s="47"/>
      <c r="H74" s="47"/>
      <c r="I74" s="48">
        <v>100000</v>
      </c>
      <c r="K74" s="48">
        <f>+I72+I73-I74</f>
        <v>50000</v>
      </c>
      <c r="L74" s="48"/>
      <c r="M74" s="47"/>
    </row>
    <row r="75" spans="1:13" x14ac:dyDescent="0.25">
      <c r="A75" s="47" t="s">
        <v>116</v>
      </c>
      <c r="D75" s="48"/>
      <c r="K75" s="48">
        <v>375000</v>
      </c>
      <c r="L75" s="1"/>
      <c r="M75" s="47"/>
    </row>
    <row r="76" spans="1:13" x14ac:dyDescent="0.25">
      <c r="A76" s="47" t="s">
        <v>117</v>
      </c>
      <c r="B76" s="47"/>
      <c r="C76" s="47"/>
      <c r="D76" s="48">
        <v>250000</v>
      </c>
      <c r="E76" s="47" t="s">
        <v>7</v>
      </c>
      <c r="F76" s="50">
        <v>0.75</v>
      </c>
      <c r="G76" s="47"/>
      <c r="H76" s="47"/>
      <c r="I76" s="47"/>
      <c r="J76" s="47"/>
      <c r="K76" s="53">
        <f>+D76*F76</f>
        <v>187500</v>
      </c>
      <c r="L76" s="48"/>
      <c r="M76" s="47" t="s">
        <v>118</v>
      </c>
    </row>
    <row r="77" spans="1:13" x14ac:dyDescent="0.25">
      <c r="A77" s="47" t="s">
        <v>119</v>
      </c>
      <c r="B77" s="47"/>
      <c r="C77" s="47"/>
      <c r="D77" s="47"/>
      <c r="E77" s="47"/>
      <c r="F77" s="47"/>
      <c r="G77" s="47"/>
      <c r="H77" s="47"/>
      <c r="I77" s="47"/>
      <c r="J77" s="47"/>
      <c r="K77" s="48">
        <v>85600</v>
      </c>
      <c r="L77" s="48"/>
      <c r="M77" s="47"/>
    </row>
    <row r="78" spans="1:13" x14ac:dyDescent="0.25">
      <c r="A78" s="47" t="s">
        <v>147</v>
      </c>
      <c r="J78" s="20"/>
      <c r="K78" s="48">
        <v>23000</v>
      </c>
      <c r="L78" s="1"/>
    </row>
    <row r="79" spans="1:13" x14ac:dyDescent="0.25">
      <c r="A79" s="47" t="s">
        <v>120</v>
      </c>
      <c r="J79" s="20"/>
      <c r="K79" s="48">
        <v>-1860000</v>
      </c>
      <c r="L79" s="1"/>
    </row>
    <row r="80" spans="1:13" x14ac:dyDescent="0.25">
      <c r="A80" s="47" t="s">
        <v>121</v>
      </c>
      <c r="J80" s="20"/>
      <c r="K80" s="51">
        <v>0</v>
      </c>
      <c r="L80" s="1"/>
      <c r="M80" s="47" t="s">
        <v>122</v>
      </c>
    </row>
    <row r="81" spans="1:13" x14ac:dyDescent="0.25">
      <c r="A81" s="47" t="s">
        <v>123</v>
      </c>
      <c r="J81" s="20"/>
      <c r="K81" s="48">
        <f>SUM(K60:K80)</f>
        <v>4163775</v>
      </c>
      <c r="L81" s="1"/>
    </row>
    <row r="82" spans="1:13" x14ac:dyDescent="0.25">
      <c r="A82" s="47" t="s">
        <v>124</v>
      </c>
      <c r="J82" s="20"/>
      <c r="K82" s="51">
        <v>-1500000</v>
      </c>
      <c r="L82" s="1"/>
    </row>
    <row r="83" spans="1:13" x14ac:dyDescent="0.25">
      <c r="A83" s="23" t="s">
        <v>125</v>
      </c>
      <c r="J83" s="20"/>
      <c r="K83" s="51">
        <f>+K81+K82</f>
        <v>2663775</v>
      </c>
      <c r="L83" s="1"/>
    </row>
    <row r="84" spans="1:13" s="15" customFormat="1" x14ac:dyDescent="0.25">
      <c r="A84" s="43" t="s">
        <v>126</v>
      </c>
      <c r="D84" s="17">
        <f>+K83</f>
        <v>2663775</v>
      </c>
      <c r="E84" s="15" t="s">
        <v>7</v>
      </c>
      <c r="F84" s="54">
        <v>1.5E-3</v>
      </c>
      <c r="H84" s="31"/>
      <c r="I84" s="31"/>
      <c r="J84" s="31"/>
      <c r="K84" s="17"/>
      <c r="L84" s="41">
        <f>+D84*F84</f>
        <v>3995.6624999999999</v>
      </c>
      <c r="M84" s="55" t="s">
        <v>127</v>
      </c>
    </row>
    <row r="85" spans="1:13" s="15" customFormat="1" x14ac:dyDescent="0.25">
      <c r="A85" s="43" t="s">
        <v>128</v>
      </c>
      <c r="D85" s="17">
        <f>+D84</f>
        <v>2663775</v>
      </c>
      <c r="E85" s="15" t="s">
        <v>7</v>
      </c>
      <c r="F85" s="54">
        <v>7.0000000000000001E-3</v>
      </c>
      <c r="H85" s="31"/>
      <c r="I85" s="31"/>
      <c r="J85" s="31"/>
      <c r="K85" s="17"/>
      <c r="L85" s="41">
        <f>+D85*F85</f>
        <v>18646.424999999999</v>
      </c>
      <c r="M85" s="55" t="s">
        <v>129</v>
      </c>
    </row>
    <row r="86" spans="1:13" x14ac:dyDescent="0.25">
      <c r="J86" s="20"/>
      <c r="L86" s="1"/>
    </row>
    <row r="87" spans="1:13" x14ac:dyDescent="0.25">
      <c r="J87" s="20"/>
      <c r="L87" s="1"/>
    </row>
    <row r="88" spans="1:13" x14ac:dyDescent="0.25">
      <c r="J88" s="20"/>
      <c r="L88" s="1"/>
    </row>
    <row r="89" spans="1:13" x14ac:dyDescent="0.25">
      <c r="J89" s="20"/>
      <c r="L89" s="1"/>
    </row>
    <row r="90" spans="1:13" x14ac:dyDescent="0.25">
      <c r="J90" s="20"/>
      <c r="L90" s="1"/>
    </row>
    <row r="91" spans="1:13" x14ac:dyDescent="0.25">
      <c r="J91" s="20"/>
      <c r="L91" s="1"/>
    </row>
    <row r="92" spans="1:13" x14ac:dyDescent="0.25">
      <c r="J92" s="20"/>
      <c r="L92" s="1"/>
    </row>
    <row r="93" spans="1:13" x14ac:dyDescent="0.25">
      <c r="J93" s="20"/>
      <c r="L93" s="1"/>
    </row>
    <row r="94" spans="1:13" x14ac:dyDescent="0.25">
      <c r="J94" s="20"/>
      <c r="L94" s="1"/>
    </row>
    <row r="95" spans="1:13" x14ac:dyDescent="0.25">
      <c r="J95" s="20"/>
      <c r="L95" s="1"/>
    </row>
    <row r="96" spans="1:13" x14ac:dyDescent="0.25">
      <c r="J96" s="20"/>
      <c r="L96" s="1"/>
    </row>
    <row r="97" spans="10:12" x14ac:dyDescent="0.25">
      <c r="J97" s="20"/>
      <c r="L97" s="1"/>
    </row>
    <row r="98" spans="10:12" x14ac:dyDescent="0.25">
      <c r="J98" s="20"/>
      <c r="L98" s="1"/>
    </row>
    <row r="99" spans="10:12" x14ac:dyDescent="0.25">
      <c r="J99" s="20"/>
      <c r="L99" s="1"/>
    </row>
    <row r="100" spans="10:12" x14ac:dyDescent="0.25">
      <c r="J100" s="20"/>
      <c r="L100" s="1"/>
    </row>
    <row r="101" spans="10:12" x14ac:dyDescent="0.25">
      <c r="J101" s="20"/>
      <c r="L101" s="1"/>
    </row>
    <row r="102" spans="10:12" x14ac:dyDescent="0.25">
      <c r="J102" s="20"/>
      <c r="L102" s="1"/>
    </row>
    <row r="103" spans="10:12" x14ac:dyDescent="0.25">
      <c r="J103" s="20"/>
      <c r="L103" s="1"/>
    </row>
    <row r="104" spans="10:12" x14ac:dyDescent="0.25">
      <c r="J104" s="20"/>
      <c r="L104" s="1"/>
    </row>
    <row r="105" spans="10:12" x14ac:dyDescent="0.25">
      <c r="J105" s="20"/>
      <c r="L105" s="1"/>
    </row>
    <row r="106" spans="10:12" x14ac:dyDescent="0.25">
      <c r="J106" s="20"/>
      <c r="L106" s="1"/>
    </row>
    <row r="107" spans="10:12" x14ac:dyDescent="0.25">
      <c r="J107" s="20"/>
      <c r="L107" s="1"/>
    </row>
    <row r="108" spans="10:12" x14ac:dyDescent="0.25">
      <c r="J108" s="20"/>
      <c r="L108" s="1"/>
    </row>
    <row r="109" spans="10:12" x14ac:dyDescent="0.25">
      <c r="J109" s="20"/>
      <c r="L109" s="1"/>
    </row>
    <row r="110" spans="10:12" x14ac:dyDescent="0.25">
      <c r="J110" s="20"/>
      <c r="L110" s="1"/>
    </row>
    <row r="111" spans="10:12" x14ac:dyDescent="0.25">
      <c r="J111" s="20"/>
      <c r="L111" s="1"/>
    </row>
    <row r="112" spans="10:12" x14ac:dyDescent="0.25">
      <c r="J112" s="20"/>
      <c r="L112" s="1"/>
    </row>
    <row r="113" spans="10:12" x14ac:dyDescent="0.25">
      <c r="J113" s="20"/>
      <c r="L113" s="1"/>
    </row>
    <row r="114" spans="10:12" x14ac:dyDescent="0.25">
      <c r="J114" s="20"/>
      <c r="L114" s="1"/>
    </row>
    <row r="115" spans="10:12" x14ac:dyDescent="0.25">
      <c r="J115" s="20"/>
      <c r="L115" s="1"/>
    </row>
    <row r="116" spans="10:12" x14ac:dyDescent="0.25">
      <c r="J116" s="20"/>
      <c r="L116" s="1"/>
    </row>
    <row r="117" spans="10:12" x14ac:dyDescent="0.25">
      <c r="J117" s="20"/>
      <c r="L117" s="1"/>
    </row>
    <row r="118" spans="10:12" x14ac:dyDescent="0.25">
      <c r="J118" s="20"/>
      <c r="L118" s="1"/>
    </row>
    <row r="119" spans="10:12" x14ac:dyDescent="0.25">
      <c r="J119" s="20"/>
      <c r="L119" s="1"/>
    </row>
    <row r="120" spans="10:12" x14ac:dyDescent="0.25">
      <c r="J120" s="20"/>
      <c r="L120" s="1"/>
    </row>
    <row r="121" spans="10:12" x14ac:dyDescent="0.25">
      <c r="J121" s="20"/>
      <c r="L121" s="1"/>
    </row>
    <row r="122" spans="10:12" x14ac:dyDescent="0.25">
      <c r="J122" s="20"/>
      <c r="L122" s="1"/>
    </row>
    <row r="123" spans="10:12" x14ac:dyDescent="0.25">
      <c r="J123" s="20"/>
      <c r="L123" s="1"/>
    </row>
    <row r="124" spans="10:12" x14ac:dyDescent="0.25">
      <c r="J124" s="20"/>
      <c r="L124" s="1"/>
    </row>
    <row r="125" spans="10:12" x14ac:dyDescent="0.25">
      <c r="J125" s="20"/>
      <c r="L125" s="1"/>
    </row>
    <row r="126" spans="10:12" x14ac:dyDescent="0.25">
      <c r="J126" s="20"/>
      <c r="L126" s="1"/>
    </row>
    <row r="127" spans="10:12" x14ac:dyDescent="0.25">
      <c r="J127" s="20"/>
      <c r="L127" s="1"/>
    </row>
    <row r="128" spans="10:12" x14ac:dyDescent="0.25">
      <c r="J128" s="20"/>
      <c r="L128" s="1"/>
    </row>
    <row r="129" spans="10:12" x14ac:dyDescent="0.25">
      <c r="J129" s="20"/>
      <c r="L129" s="1"/>
    </row>
    <row r="130" spans="10:12" x14ac:dyDescent="0.25">
      <c r="J130" s="20"/>
      <c r="L130" s="1"/>
    </row>
    <row r="131" spans="10:12" x14ac:dyDescent="0.25">
      <c r="J131" s="20"/>
      <c r="L131" s="1"/>
    </row>
    <row r="132" spans="10:12" x14ac:dyDescent="0.25">
      <c r="J132" s="20"/>
      <c r="L132" s="1"/>
    </row>
    <row r="133" spans="10:12" x14ac:dyDescent="0.25">
      <c r="J133" s="20"/>
      <c r="L133" s="1"/>
    </row>
    <row r="134" spans="10:12" x14ac:dyDescent="0.25">
      <c r="J134" s="20"/>
      <c r="L134" s="1"/>
    </row>
    <row r="135" spans="10:12" x14ac:dyDescent="0.25">
      <c r="J135" s="20"/>
      <c r="L135" s="1"/>
    </row>
    <row r="136" spans="10:12" x14ac:dyDescent="0.25">
      <c r="J136" s="20"/>
      <c r="L136" s="1"/>
    </row>
    <row r="137" spans="10:12" x14ac:dyDescent="0.25">
      <c r="J137" s="20"/>
      <c r="L137" s="1"/>
    </row>
    <row r="138" spans="10:12" x14ac:dyDescent="0.25">
      <c r="J138" s="20"/>
      <c r="L138" s="1"/>
    </row>
    <row r="139" spans="10:12" x14ac:dyDescent="0.25">
      <c r="J139" s="20"/>
      <c r="L139" s="1"/>
    </row>
    <row r="140" spans="10:12" x14ac:dyDescent="0.25">
      <c r="J140" s="20"/>
      <c r="L140" s="1"/>
    </row>
    <row r="141" spans="10:12" x14ac:dyDescent="0.25">
      <c r="J141" s="20"/>
      <c r="L141" s="1"/>
    </row>
    <row r="142" spans="10:12" x14ac:dyDescent="0.25">
      <c r="J142" s="20"/>
      <c r="L142" s="1"/>
    </row>
    <row r="143" spans="10:12" x14ac:dyDescent="0.25">
      <c r="J143" s="20"/>
      <c r="L143" s="1"/>
    </row>
    <row r="144" spans="10:12" x14ac:dyDescent="0.25">
      <c r="J144" s="20"/>
      <c r="L144" s="1"/>
    </row>
    <row r="145" spans="10:12" x14ac:dyDescent="0.25">
      <c r="J145" s="20"/>
      <c r="L145" s="1"/>
    </row>
    <row r="146" spans="10:12" x14ac:dyDescent="0.25">
      <c r="J146" s="20"/>
      <c r="L146" s="1"/>
    </row>
    <row r="147" spans="10:12" x14ac:dyDescent="0.25">
      <c r="J147" s="20"/>
      <c r="L147" s="1"/>
    </row>
    <row r="148" spans="10:12" x14ac:dyDescent="0.25">
      <c r="J148" s="20"/>
      <c r="L148" s="1"/>
    </row>
    <row r="149" spans="10:12" x14ac:dyDescent="0.25">
      <c r="J149" s="20"/>
      <c r="L149" s="1"/>
    </row>
    <row r="150" spans="10:12" x14ac:dyDescent="0.25">
      <c r="J150" s="20"/>
      <c r="L150" s="1"/>
    </row>
    <row r="151" spans="10:12" x14ac:dyDescent="0.25">
      <c r="J151" s="20"/>
      <c r="L151" s="1"/>
    </row>
    <row r="152" spans="10:12" x14ac:dyDescent="0.25">
      <c r="J152" s="20"/>
      <c r="L152" s="1"/>
    </row>
    <row r="153" spans="10:12" x14ac:dyDescent="0.25">
      <c r="J153" s="20"/>
      <c r="L153" s="1"/>
    </row>
    <row r="154" spans="10:12" x14ac:dyDescent="0.25">
      <c r="J154" s="20"/>
      <c r="L154" s="1"/>
    </row>
    <row r="155" spans="10:12" x14ac:dyDescent="0.25">
      <c r="J155" s="20"/>
      <c r="L155" s="1"/>
    </row>
    <row r="156" spans="10:12" x14ac:dyDescent="0.25">
      <c r="J156" s="20"/>
      <c r="L156" s="1"/>
    </row>
    <row r="157" spans="10:12" x14ac:dyDescent="0.25">
      <c r="J157" s="20"/>
      <c r="L157" s="1"/>
    </row>
    <row r="158" spans="10:12" x14ac:dyDescent="0.25">
      <c r="J158" s="20"/>
      <c r="L158" s="1"/>
    </row>
    <row r="159" spans="10:12" x14ac:dyDescent="0.25">
      <c r="J159" s="20"/>
      <c r="L159" s="1"/>
    </row>
    <row r="160" spans="10:12" x14ac:dyDescent="0.25">
      <c r="J160" s="20"/>
      <c r="L160" s="1"/>
    </row>
    <row r="161" spans="10:12" x14ac:dyDescent="0.25">
      <c r="J161" s="20"/>
      <c r="L161" s="1"/>
    </row>
    <row r="162" spans="10:12" x14ac:dyDescent="0.25">
      <c r="J162" s="20"/>
      <c r="L162" s="1"/>
    </row>
    <row r="163" spans="10:12" x14ac:dyDescent="0.25">
      <c r="J163" s="20"/>
      <c r="L163" s="1"/>
    </row>
    <row r="164" spans="10:12" x14ac:dyDescent="0.25">
      <c r="J164" s="20"/>
      <c r="L164" s="1"/>
    </row>
    <row r="165" spans="10:12" x14ac:dyDescent="0.25">
      <c r="J165" s="20"/>
      <c r="L165" s="1"/>
    </row>
    <row r="166" spans="10:12" x14ac:dyDescent="0.25">
      <c r="J166" s="20"/>
      <c r="L166" s="1"/>
    </row>
    <row r="167" spans="10:12" x14ac:dyDescent="0.25">
      <c r="J167" s="20"/>
      <c r="L167" s="1"/>
    </row>
    <row r="168" spans="10:12" x14ac:dyDescent="0.25">
      <c r="J168" s="20"/>
      <c r="L168" s="1"/>
    </row>
    <row r="169" spans="10:12" x14ac:dyDescent="0.25">
      <c r="J169" s="20"/>
      <c r="L169" s="1"/>
    </row>
    <row r="170" spans="10:12" x14ac:dyDescent="0.25">
      <c r="J170" s="20"/>
      <c r="L170" s="1"/>
    </row>
    <row r="171" spans="10:12" x14ac:dyDescent="0.25">
      <c r="J171" s="20"/>
      <c r="L171" s="1"/>
    </row>
    <row r="172" spans="10:12" x14ac:dyDescent="0.25">
      <c r="J172" s="20"/>
      <c r="L172" s="1"/>
    </row>
    <row r="173" spans="10:12" x14ac:dyDescent="0.25">
      <c r="J173" s="20"/>
      <c r="L173" s="1"/>
    </row>
    <row r="174" spans="10:12" x14ac:dyDescent="0.25">
      <c r="J174" s="20"/>
      <c r="L174" s="1"/>
    </row>
    <row r="175" spans="10:12" x14ac:dyDescent="0.25">
      <c r="J175" s="20"/>
      <c r="L175" s="1"/>
    </row>
    <row r="176" spans="10:12" x14ac:dyDescent="0.25">
      <c r="J176" s="20"/>
      <c r="L176" s="1"/>
    </row>
    <row r="177" spans="10:12" x14ac:dyDescent="0.25">
      <c r="J177" s="20"/>
      <c r="L177" s="1"/>
    </row>
    <row r="178" spans="10:12" x14ac:dyDescent="0.25">
      <c r="J178" s="20"/>
      <c r="L178" s="1"/>
    </row>
    <row r="179" spans="10:12" x14ac:dyDescent="0.25">
      <c r="J179" s="20"/>
      <c r="L179" s="1"/>
    </row>
    <row r="180" spans="10:12" x14ac:dyDescent="0.25">
      <c r="J180" s="20"/>
      <c r="L180" s="1"/>
    </row>
    <row r="181" spans="10:12" x14ac:dyDescent="0.25">
      <c r="J181" s="20"/>
      <c r="L181" s="1"/>
    </row>
    <row r="182" spans="10:12" x14ac:dyDescent="0.25">
      <c r="J182" s="20"/>
      <c r="L182" s="1"/>
    </row>
    <row r="183" spans="10:12" x14ac:dyDescent="0.25">
      <c r="J183" s="20"/>
      <c r="L183" s="1"/>
    </row>
    <row r="184" spans="10:12" x14ac:dyDescent="0.25">
      <c r="J184" s="20"/>
      <c r="L184" s="1"/>
    </row>
    <row r="185" spans="10:12" x14ac:dyDescent="0.25">
      <c r="J185" s="20"/>
      <c r="L185" s="1"/>
    </row>
  </sheetData>
  <mergeCells count="1">
    <mergeCell ref="H18:I18"/>
  </mergeCells>
  <pageMargins left="0.70866141732283472" right="0.70866141732283472" top="0.78740157480314965" bottom="0.78740157480314965" header="0.31496062992125984" footer="0.31496062992125984"/>
  <pageSetup paperSize="9" scale="60"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"/>
  <sheetViews>
    <sheetView workbookViewId="0">
      <selection activeCell="D12" sqref="D12"/>
    </sheetView>
  </sheetViews>
  <sheetFormatPr baseColWidth="10" defaultRowHeight="15" x14ac:dyDescent="0.25"/>
  <cols>
    <col min="1" max="1" width="12.7109375" bestFit="1" customWidth="1"/>
    <col min="2" max="2" width="34.85546875" customWidth="1"/>
    <col min="3" max="3" width="2" bestFit="1" customWidth="1"/>
    <col min="5" max="5" width="2.140625" bestFit="1" customWidth="1"/>
    <col min="7" max="7" width="12.140625" bestFit="1" customWidth="1"/>
    <col min="8" max="8" width="5.140625" bestFit="1" customWidth="1"/>
    <col min="9" max="9" width="2.140625" bestFit="1" customWidth="1"/>
  </cols>
  <sheetData>
    <row r="1" spans="1:12" x14ac:dyDescent="0.25">
      <c r="A1" s="56" t="s">
        <v>130</v>
      </c>
      <c r="B1" s="57"/>
      <c r="C1" s="57"/>
      <c r="D1" s="57"/>
      <c r="E1" s="57"/>
      <c r="F1" s="57"/>
      <c r="G1" s="57"/>
      <c r="H1" s="57"/>
      <c r="I1" s="57"/>
      <c r="J1" s="57"/>
    </row>
    <row r="2" spans="1:12" x14ac:dyDescent="0.25">
      <c r="A2" s="57" t="s">
        <v>137</v>
      </c>
      <c r="B2" s="57"/>
      <c r="C2" s="57"/>
      <c r="D2" s="57"/>
      <c r="E2" s="57"/>
      <c r="F2" s="57"/>
      <c r="G2" s="57"/>
      <c r="H2" s="57"/>
      <c r="I2" s="57"/>
      <c r="J2" s="57"/>
      <c r="K2" s="57" t="s">
        <v>141</v>
      </c>
    </row>
    <row r="3" spans="1:12" x14ac:dyDescent="0.25">
      <c r="A3" s="57" t="s">
        <v>138</v>
      </c>
      <c r="B3" s="57" t="s">
        <v>132</v>
      </c>
      <c r="C3" s="57"/>
      <c r="D3" s="57">
        <v>1500</v>
      </c>
      <c r="E3" s="57"/>
      <c r="F3" s="57"/>
      <c r="G3" s="57"/>
      <c r="H3" s="57"/>
      <c r="I3" s="57"/>
      <c r="J3" s="57"/>
      <c r="K3" s="57" t="s">
        <v>27</v>
      </c>
      <c r="L3" s="57"/>
    </row>
    <row r="4" spans="1:12" x14ac:dyDescent="0.25">
      <c r="A4" s="57"/>
      <c r="B4" s="61" t="s">
        <v>139</v>
      </c>
      <c r="C4" s="57"/>
      <c r="D4" s="62">
        <f>500000/1000</f>
        <v>500</v>
      </c>
      <c r="E4" s="57"/>
      <c r="F4" s="57"/>
      <c r="G4" s="57"/>
      <c r="H4" s="57"/>
      <c r="I4" s="57"/>
      <c r="J4" s="57"/>
      <c r="K4" s="57"/>
      <c r="L4" s="57"/>
    </row>
    <row r="5" spans="1:12" x14ac:dyDescent="0.25">
      <c r="A5" s="57"/>
      <c r="B5" s="57" t="s">
        <v>133</v>
      </c>
      <c r="C5" s="57"/>
      <c r="D5" s="57">
        <f>+D3-D4</f>
        <v>1000</v>
      </c>
      <c r="E5" s="57"/>
      <c r="F5" s="57"/>
      <c r="G5" s="57"/>
      <c r="H5" s="57"/>
      <c r="I5" s="57"/>
      <c r="J5" s="57"/>
      <c r="K5" s="57"/>
    </row>
    <row r="6" spans="1:12" x14ac:dyDescent="0.25">
      <c r="A6" s="57"/>
      <c r="B6" s="61" t="s">
        <v>140</v>
      </c>
      <c r="C6" s="57"/>
      <c r="D6" s="62">
        <f>18000/1000</f>
        <v>18</v>
      </c>
      <c r="E6" s="57"/>
      <c r="F6" s="57"/>
      <c r="G6" s="57"/>
      <c r="H6" s="57"/>
      <c r="I6" s="57"/>
      <c r="J6" s="57"/>
      <c r="K6" s="57"/>
    </row>
    <row r="7" spans="1:12" x14ac:dyDescent="0.25">
      <c r="A7" s="57"/>
      <c r="B7" s="57" t="s">
        <v>134</v>
      </c>
      <c r="C7" s="57"/>
      <c r="D7" s="57">
        <f>+D5-D6</f>
        <v>982</v>
      </c>
      <c r="E7" s="63" t="s">
        <v>7</v>
      </c>
      <c r="F7" s="57">
        <v>500</v>
      </c>
      <c r="G7" s="63" t="s">
        <v>7</v>
      </c>
      <c r="H7" s="57">
        <v>1.44</v>
      </c>
      <c r="I7" s="57" t="s">
        <v>13</v>
      </c>
      <c r="J7" s="64">
        <f>+D7*F7*H7</f>
        <v>707040</v>
      </c>
      <c r="K7" t="s">
        <v>15</v>
      </c>
    </row>
    <row r="8" spans="1:12" x14ac:dyDescent="0.25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</row>
    <row r="9" spans="1:12" x14ac:dyDescent="0.25">
      <c r="A9" s="57"/>
      <c r="B9" s="57" t="s">
        <v>131</v>
      </c>
      <c r="C9" s="57"/>
      <c r="D9" s="57">
        <v>50000</v>
      </c>
      <c r="E9" s="57"/>
      <c r="F9" s="57"/>
      <c r="G9" s="57"/>
      <c r="K9" t="s">
        <v>146</v>
      </c>
      <c r="L9" s="57"/>
    </row>
    <row r="10" spans="1:12" x14ac:dyDescent="0.25">
      <c r="A10" s="57"/>
      <c r="B10" s="61" t="s">
        <v>144</v>
      </c>
      <c r="C10" s="57"/>
      <c r="D10" s="57">
        <f>+((500000/2)+D11)*1.5%</f>
        <v>3885</v>
      </c>
      <c r="E10" s="57"/>
      <c r="F10" s="57"/>
      <c r="G10" s="57"/>
      <c r="H10" s="57"/>
      <c r="I10" s="57"/>
      <c r="L10" s="57"/>
    </row>
    <row r="11" spans="1:12" x14ac:dyDescent="0.25">
      <c r="A11" s="57"/>
      <c r="B11" s="61" t="s">
        <v>140</v>
      </c>
      <c r="C11" s="57"/>
      <c r="D11" s="62">
        <f>18*500</f>
        <v>9000</v>
      </c>
      <c r="E11" s="57"/>
      <c r="F11" s="57"/>
      <c r="G11" s="57"/>
      <c r="H11" s="57"/>
      <c r="I11" s="57"/>
      <c r="L11" s="57"/>
    </row>
    <row r="12" spans="1:12" x14ac:dyDescent="0.25">
      <c r="A12" s="57"/>
      <c r="B12" s="57" t="s">
        <v>145</v>
      </c>
      <c r="C12" s="57"/>
      <c r="D12" s="57">
        <f>+D9-D10-D11</f>
        <v>37115</v>
      </c>
      <c r="E12" s="57"/>
      <c r="F12" s="57"/>
      <c r="G12" s="57" t="s">
        <v>7</v>
      </c>
      <c r="H12" s="57">
        <v>1.44</v>
      </c>
      <c r="I12" s="57" t="s">
        <v>13</v>
      </c>
      <c r="J12" s="57">
        <f>+D12*H12</f>
        <v>53445.599999999999</v>
      </c>
      <c r="K12" t="s">
        <v>15</v>
      </c>
      <c r="L12" s="57"/>
    </row>
    <row r="13" spans="1:12" x14ac:dyDescent="0.25">
      <c r="A13" s="57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</row>
    <row r="14" spans="1:12" x14ac:dyDescent="0.25">
      <c r="A14" s="58"/>
      <c r="B14" s="57"/>
      <c r="C14" s="57"/>
      <c r="D14" s="57"/>
      <c r="E14" s="57"/>
      <c r="F14" s="57"/>
      <c r="G14" s="57"/>
      <c r="H14" s="57"/>
      <c r="I14" s="57"/>
      <c r="J14" s="57"/>
      <c r="K14" s="57"/>
    </row>
    <row r="15" spans="1:12" x14ac:dyDescent="0.25">
      <c r="A15" s="57" t="s">
        <v>142</v>
      </c>
      <c r="B15" s="57"/>
      <c r="C15" s="57"/>
      <c r="D15" s="57"/>
      <c r="E15" s="57"/>
      <c r="F15" s="57"/>
      <c r="G15" s="57"/>
      <c r="H15" s="57"/>
      <c r="I15" s="57"/>
      <c r="J15" s="57"/>
    </row>
    <row r="16" spans="1:12" x14ac:dyDescent="0.25">
      <c r="A16" s="57"/>
      <c r="B16" s="57" t="s">
        <v>143</v>
      </c>
      <c r="C16" s="57"/>
      <c r="D16" s="57"/>
      <c r="E16" s="57"/>
    </row>
    <row r="17" spans="1:12" x14ac:dyDescent="0.25">
      <c r="A17" s="57"/>
      <c r="B17" s="57" t="s">
        <v>135</v>
      </c>
      <c r="C17" s="57"/>
      <c r="D17" s="57"/>
      <c r="E17" s="57"/>
      <c r="F17" s="57"/>
      <c r="G17" s="57"/>
    </row>
    <row r="18" spans="1:12" x14ac:dyDescent="0.25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</row>
    <row r="19" spans="1:12" x14ac:dyDescent="0.25">
      <c r="A19" s="57"/>
      <c r="B19" s="57">
        <v>50000</v>
      </c>
      <c r="C19" s="57" t="s">
        <v>7</v>
      </c>
      <c r="D19" s="59">
        <v>0.03</v>
      </c>
      <c r="E19" s="57" t="s">
        <v>13</v>
      </c>
      <c r="F19" s="60">
        <f>+B19*D19</f>
        <v>1500</v>
      </c>
      <c r="G19" s="57" t="s">
        <v>136</v>
      </c>
      <c r="H19" s="57"/>
      <c r="I19" s="57"/>
      <c r="J19" s="57"/>
      <c r="K19" s="57"/>
      <c r="L19" s="57"/>
    </row>
    <row r="20" spans="1:12" x14ac:dyDescent="0.25">
      <c r="A20" s="57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</row>
  </sheetData>
  <pageMargins left="0.7" right="0.7" top="0.75" bottom="0.75" header="0.3" footer="0.3"/>
  <pageSetup paperSize="9" scale="65" orientation="portrait" horizontalDpi="0" verticalDpi="0"/>
  <ignoredErrors>
    <ignoredError sqref="D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oppg1</vt:lpstr>
      <vt:lpstr>oppg2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Lena Knudsen</cp:lastModifiedBy>
  <cp:lastPrinted>2019-06-08T08:14:28Z</cp:lastPrinted>
  <dcterms:created xsi:type="dcterms:W3CDTF">2009-05-21T16:20:15Z</dcterms:created>
  <dcterms:modified xsi:type="dcterms:W3CDTF">2020-06-08T10:39:36Z</dcterms:modified>
</cp:coreProperties>
</file>