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TUDIE\EKSAMEN\Eksamen Halden\Oppgavesett\VÅR 2020\ØSS\Sensorveiledninger\"/>
    </mc:Choice>
  </mc:AlternateContent>
  <bookViews>
    <workbookView xWindow="0" yWindow="0" windowWidth="28800" windowHeight="12300"/>
  </bookViews>
  <sheets>
    <sheet name="Oppgave 1" sheetId="1" r:id="rId1"/>
    <sheet name="Oppgave 2" sheetId="3" r:id="rId2"/>
    <sheet name="oppgave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C132" i="4" l="1"/>
  <c r="B137" i="4" s="1"/>
  <c r="B127" i="4"/>
  <c r="E52" i="4"/>
  <c r="E83" i="4" s="1"/>
  <c r="F52" i="4"/>
  <c r="F83" i="4" s="1"/>
  <c r="G52" i="4"/>
  <c r="G83" i="4" s="1"/>
  <c r="H52" i="4"/>
  <c r="H83" i="4" s="1"/>
  <c r="I52" i="4"/>
  <c r="I83" i="4" s="1"/>
  <c r="D52" i="4"/>
  <c r="F57" i="4"/>
  <c r="G57" i="4"/>
  <c r="H57" i="4"/>
  <c r="I57" i="4"/>
  <c r="J57" i="4"/>
  <c r="K57" i="4"/>
  <c r="L57" i="4"/>
  <c r="L83" i="4"/>
  <c r="K83" i="4"/>
  <c r="J83" i="4"/>
  <c r="L78" i="4"/>
  <c r="K78" i="4"/>
  <c r="J78" i="4"/>
  <c r="L61" i="4"/>
  <c r="K61" i="4"/>
  <c r="J61" i="4"/>
  <c r="I61" i="4"/>
  <c r="H61" i="4"/>
  <c r="L59" i="4"/>
  <c r="K59" i="4"/>
  <c r="J59" i="4"/>
  <c r="I59" i="4"/>
  <c r="H59" i="4"/>
  <c r="B58" i="4"/>
  <c r="D59" i="4"/>
  <c r="E59" i="4"/>
  <c r="F59" i="4"/>
  <c r="G59" i="4"/>
  <c r="C59" i="4"/>
  <c r="E57" i="4"/>
  <c r="D57" i="4"/>
  <c r="P72" i="4"/>
  <c r="B53" i="4"/>
  <c r="C49" i="4" s="1"/>
  <c r="C51" i="4" s="1"/>
  <c r="C78" i="4" s="1"/>
  <c r="F40" i="4"/>
  <c r="F37" i="4"/>
  <c r="F36" i="4"/>
  <c r="F35" i="4"/>
  <c r="D36" i="4"/>
  <c r="D37" i="4"/>
  <c r="B39" i="4"/>
  <c r="B31" i="4"/>
  <c r="B40" i="4" s="1"/>
  <c r="B67" i="4"/>
  <c r="G61" i="4"/>
  <c r="F61" i="4"/>
  <c r="D61" i="4"/>
  <c r="E61" i="4"/>
  <c r="C61" i="4"/>
  <c r="C65" i="4" s="1"/>
  <c r="C57" i="4"/>
  <c r="C74" i="4" l="1"/>
  <c r="C71" i="4"/>
  <c r="D49" i="4"/>
  <c r="D51" i="4" s="1"/>
  <c r="D78" i="4" s="1"/>
  <c r="C72" i="4"/>
  <c r="D83" i="4"/>
  <c r="B83" i="4"/>
  <c r="B76" i="4"/>
  <c r="C50" i="4"/>
  <c r="B35" i="4"/>
  <c r="C35" i="4" s="1"/>
  <c r="E35" i="4" s="1"/>
  <c r="G35" i="4" s="1"/>
  <c r="B37" i="4"/>
  <c r="C37" i="4" s="1"/>
  <c r="E37" i="4" s="1"/>
  <c r="B36" i="4"/>
  <c r="C36" i="4" s="1"/>
  <c r="E36" i="4" s="1"/>
  <c r="G40" i="4"/>
  <c r="D65" i="4"/>
  <c r="C73" i="4" l="1"/>
  <c r="E49" i="4"/>
  <c r="E65" i="4"/>
  <c r="D74" i="4"/>
  <c r="D72" i="4"/>
  <c r="D53" i="4"/>
  <c r="C77" i="4"/>
  <c r="D71" i="4"/>
  <c r="D73" i="4" s="1"/>
  <c r="G36" i="4"/>
  <c r="G37" i="4"/>
  <c r="C79" i="4" l="1"/>
  <c r="E51" i="4"/>
  <c r="E78" i="4" s="1"/>
  <c r="F49" i="4"/>
  <c r="E71" i="4"/>
  <c r="E74" i="4"/>
  <c r="E72" i="4"/>
  <c r="F65" i="4"/>
  <c r="G65" i="4" s="1"/>
  <c r="C82" i="4"/>
  <c r="C76" i="4"/>
  <c r="D77" i="4" s="1"/>
  <c r="G38" i="4"/>
  <c r="G41" i="4" s="1"/>
  <c r="E73" i="4" l="1"/>
  <c r="F51" i="4"/>
  <c r="F53" i="4"/>
  <c r="G49" i="4"/>
  <c r="G72" i="4"/>
  <c r="H65" i="4"/>
  <c r="G74" i="4"/>
  <c r="F74" i="4"/>
  <c r="F72" i="4"/>
  <c r="F71" i="4"/>
  <c r="I60" i="4"/>
  <c r="H60" i="4"/>
  <c r="L60" i="4"/>
  <c r="L68" i="4" s="1"/>
  <c r="K60" i="4"/>
  <c r="J60" i="4"/>
  <c r="D60" i="4"/>
  <c r="D68" i="4" s="1"/>
  <c r="E60" i="4"/>
  <c r="F60" i="4"/>
  <c r="G60" i="4"/>
  <c r="B60" i="4"/>
  <c r="C60" i="4"/>
  <c r="C68" i="4" s="1"/>
  <c r="C80" i="4"/>
  <c r="C81" i="4" s="1"/>
  <c r="D79" i="4"/>
  <c r="G71" i="4"/>
  <c r="C83" i="4"/>
  <c r="C53" i="4"/>
  <c r="E68" i="4" l="1"/>
  <c r="F73" i="4"/>
  <c r="G51" i="4"/>
  <c r="G53" i="4"/>
  <c r="H49" i="4"/>
  <c r="F78" i="4"/>
  <c r="F50" i="4"/>
  <c r="I65" i="4"/>
  <c r="H74" i="4"/>
  <c r="H71" i="4"/>
  <c r="H72" i="4"/>
  <c r="D82" i="4"/>
  <c r="F68" i="4"/>
  <c r="F69" i="4" s="1"/>
  <c r="G73" i="4"/>
  <c r="E69" i="4"/>
  <c r="E75" i="4" s="1"/>
  <c r="D69" i="4"/>
  <c r="D75" i="4" s="1"/>
  <c r="B69" i="4"/>
  <c r="B68" i="4"/>
  <c r="C69" i="4" s="1"/>
  <c r="D76" i="4"/>
  <c r="F75" i="4" l="1"/>
  <c r="G50" i="4"/>
  <c r="G78" i="4"/>
  <c r="H53" i="4"/>
  <c r="I49" i="4"/>
  <c r="H51" i="4"/>
  <c r="J65" i="4"/>
  <c r="I71" i="4"/>
  <c r="H68" i="4" s="1"/>
  <c r="I74" i="4"/>
  <c r="I72" i="4"/>
  <c r="H73" i="4"/>
  <c r="G68" i="4"/>
  <c r="E77" i="4"/>
  <c r="E79" i="4" s="1"/>
  <c r="C84" i="4"/>
  <c r="C75" i="4"/>
  <c r="B84" i="4"/>
  <c r="B75" i="4"/>
  <c r="D50" i="4"/>
  <c r="B86" i="4" l="1"/>
  <c r="E82" i="4"/>
  <c r="I73" i="4"/>
  <c r="H50" i="4"/>
  <c r="H78" i="4"/>
  <c r="I51" i="4"/>
  <c r="I53" i="4"/>
  <c r="H69" i="4"/>
  <c r="H75" i="4" s="1"/>
  <c r="G69" i="4"/>
  <c r="G75" i="4" s="1"/>
  <c r="E76" i="4"/>
  <c r="F77" i="4" s="1"/>
  <c r="F79" i="4" s="1"/>
  <c r="K65" i="4"/>
  <c r="J74" i="4"/>
  <c r="J72" i="4"/>
  <c r="J71" i="4"/>
  <c r="C86" i="4"/>
  <c r="D80" i="4"/>
  <c r="D81" i="4" s="1"/>
  <c r="D84" i="4" s="1"/>
  <c r="F82" i="4" l="1"/>
  <c r="I78" i="4"/>
  <c r="I50" i="4"/>
  <c r="K74" i="4"/>
  <c r="K71" i="4"/>
  <c r="L65" i="4"/>
  <c r="K72" i="4"/>
  <c r="J73" i="4"/>
  <c r="I68" i="4"/>
  <c r="I69" i="4" s="1"/>
  <c r="I75" i="4" s="1"/>
  <c r="F76" i="4"/>
  <c r="G77" i="4" s="1"/>
  <c r="G79" i="4" l="1"/>
  <c r="G82" i="4"/>
  <c r="L74" i="4"/>
  <c r="L71" i="4"/>
  <c r="L72" i="4"/>
  <c r="G76" i="4"/>
  <c r="H77" i="4" s="1"/>
  <c r="K73" i="4"/>
  <c r="J68" i="4"/>
  <c r="J69" i="4" s="1"/>
  <c r="J75" i="4" s="1"/>
  <c r="E50" i="4"/>
  <c r="E53" i="4"/>
  <c r="D86" i="4"/>
  <c r="K68" i="4" l="1"/>
  <c r="L73" i="4"/>
  <c r="H82" i="4"/>
  <c r="H79" i="4"/>
  <c r="H80" i="4" s="1"/>
  <c r="H81" i="4" s="1"/>
  <c r="H84" i="4" s="1"/>
  <c r="H76" i="4"/>
  <c r="E80" i="4"/>
  <c r="E81" i="4" s="1"/>
  <c r="E84" i="4" s="1"/>
  <c r="L69" i="4" l="1"/>
  <c r="L75" i="4" s="1"/>
  <c r="K69" i="4"/>
  <c r="K75" i="4" s="1"/>
  <c r="I77" i="4"/>
  <c r="I76" i="4" s="1"/>
  <c r="M108" i="4" l="1"/>
  <c r="M95" i="4"/>
  <c r="M93" i="4"/>
  <c r="M106" i="4"/>
  <c r="M96" i="4"/>
  <c r="M97" i="4"/>
  <c r="M99" i="4"/>
  <c r="M91" i="4"/>
  <c r="M94" i="4"/>
  <c r="M103" i="4"/>
  <c r="M102" i="4"/>
  <c r="M101" i="4"/>
  <c r="M107" i="4"/>
  <c r="M92" i="4"/>
  <c r="M105" i="4"/>
  <c r="M100" i="4"/>
  <c r="M98" i="4"/>
  <c r="M104" i="4"/>
  <c r="J77" i="4"/>
  <c r="J76" i="4" s="1"/>
  <c r="I82" i="4"/>
  <c r="I79" i="4"/>
  <c r="I80" i="4" s="1"/>
  <c r="I81" i="4" s="1"/>
  <c r="E86" i="4"/>
  <c r="I84" i="4" l="1"/>
  <c r="K77" i="4"/>
  <c r="K76" i="4" s="1"/>
  <c r="L77" i="4" s="1"/>
  <c r="J82" i="4"/>
  <c r="J79" i="4"/>
  <c r="J80" i="4" s="1"/>
  <c r="J81" i="4" s="1"/>
  <c r="J84" i="4" s="1"/>
  <c r="F80" i="4"/>
  <c r="F81" i="4" s="1"/>
  <c r="F84" i="4" s="1"/>
  <c r="L76" i="4" l="1"/>
  <c r="K82" i="4"/>
  <c r="K79" i="4"/>
  <c r="K80" i="4" s="1"/>
  <c r="K81" i="4" s="1"/>
  <c r="K84" i="4" l="1"/>
  <c r="L82" i="4"/>
  <c r="L79" i="4"/>
  <c r="L80" i="4" s="1"/>
  <c r="L81" i="4" s="1"/>
  <c r="F86" i="4"/>
  <c r="L84" i="4" l="1"/>
  <c r="B138" i="4" l="1"/>
  <c r="G80" i="4"/>
  <c r="G81" i="4" s="1"/>
  <c r="G84" i="4" s="1"/>
  <c r="M110" i="4" l="1"/>
  <c r="G86" i="4"/>
  <c r="H86" i="4" s="1"/>
  <c r="I86" i="4" l="1"/>
  <c r="J86" i="4" s="1"/>
  <c r="K86" i="4" s="1"/>
  <c r="L86" i="4" s="1"/>
  <c r="B115" i="4"/>
  <c r="I60" i="1" l="1"/>
  <c r="G60" i="1"/>
  <c r="H60" i="1"/>
  <c r="D60" i="1"/>
  <c r="E60" i="1"/>
  <c r="F60" i="1"/>
  <c r="C60" i="1" l="1"/>
  <c r="C23" i="1" l="1"/>
  <c r="C24" i="1"/>
  <c r="D6" i="1"/>
  <c r="C6" i="1"/>
  <c r="E24" i="1"/>
  <c r="F24" i="1"/>
  <c r="G24" i="1"/>
  <c r="H24" i="1"/>
  <c r="I24" i="1"/>
  <c r="D24" i="1"/>
  <c r="E23" i="1"/>
  <c r="F23" i="1"/>
  <c r="G23" i="1"/>
  <c r="H23" i="1"/>
  <c r="I23" i="1"/>
  <c r="J23" i="1"/>
  <c r="J25" i="1" s="1"/>
  <c r="K23" i="1"/>
  <c r="K25" i="1" s="1"/>
  <c r="L23" i="1"/>
  <c r="L25" i="1" s="1"/>
  <c r="M23" i="1"/>
  <c r="M25" i="1" s="1"/>
  <c r="D23" i="1"/>
  <c r="D39" i="1" l="1"/>
  <c r="D42" i="1"/>
  <c r="D37" i="1"/>
  <c r="D45" i="1"/>
  <c r="D40" i="1"/>
  <c r="D43" i="1"/>
  <c r="D38" i="1"/>
  <c r="D41" i="1"/>
  <c r="D44" i="1"/>
  <c r="D46" i="1"/>
  <c r="D36" i="1"/>
  <c r="C42" i="1"/>
  <c r="C37" i="1"/>
  <c r="C45" i="1"/>
  <c r="C40" i="1"/>
  <c r="C43" i="1"/>
  <c r="C36" i="1"/>
  <c r="C39" i="1"/>
  <c r="C38" i="1"/>
  <c r="C46" i="1"/>
  <c r="C41" i="1"/>
  <c r="C44" i="1"/>
  <c r="C25" i="1"/>
  <c r="H25" i="1"/>
  <c r="G25" i="1"/>
  <c r="C29" i="1"/>
  <c r="I25" i="1"/>
  <c r="F25" i="1"/>
  <c r="E25" i="1"/>
  <c r="D25" i="1"/>
  <c r="C9" i="1"/>
  <c r="C28" i="1"/>
  <c r="E36" i="1" l="1"/>
  <c r="E44" i="1"/>
  <c r="E39" i="1"/>
  <c r="E42" i="1"/>
  <c r="E37" i="1"/>
  <c r="E45" i="1"/>
  <c r="E40" i="1"/>
  <c r="E43" i="1"/>
  <c r="E46" i="1"/>
  <c r="E38" i="1"/>
  <c r="E41" i="1"/>
  <c r="C30" i="1"/>
</calcChain>
</file>

<file path=xl/sharedStrings.xml><?xml version="1.0" encoding="utf-8"?>
<sst xmlns="http://schemas.openxmlformats.org/spreadsheetml/2006/main" count="199" uniqueCount="156">
  <si>
    <t>Investering</t>
  </si>
  <si>
    <t>Årlig kontantstrøm</t>
  </si>
  <si>
    <t>Levetid (år)</t>
  </si>
  <si>
    <t>År 0</t>
  </si>
  <si>
    <t>År 1</t>
  </si>
  <si>
    <t>År 2</t>
  </si>
  <si>
    <t>År 3</t>
  </si>
  <si>
    <t>År 4</t>
  </si>
  <si>
    <t>År 5</t>
  </si>
  <si>
    <t>År 6</t>
  </si>
  <si>
    <t>År 7</t>
  </si>
  <si>
    <t>År 8</t>
  </si>
  <si>
    <t>År 9</t>
  </si>
  <si>
    <t>År 10</t>
  </si>
  <si>
    <t>IR</t>
  </si>
  <si>
    <t>1 a)</t>
  </si>
  <si>
    <t>Differanse KS</t>
  </si>
  <si>
    <t>Boligutvikling KS</t>
  </si>
  <si>
    <t>Salg KS</t>
  </si>
  <si>
    <t>Du vil gjøre boligutviklen dersom kravet til avkastning er &lt; 9.1% hvis høyere selger du tomten.</t>
  </si>
  <si>
    <t>1 b)</t>
  </si>
  <si>
    <t>Avkastningkrav</t>
  </si>
  <si>
    <t>Nåverdi</t>
  </si>
  <si>
    <t xml:space="preserve"> 1 c)</t>
  </si>
  <si>
    <t>Investor med avkastningskrav &lt; 3.9% vil velge ProsjektA, mellom 3.9% og 8.6% prosjektB. Ved høyere kapitalkrav vil ingen av prosjektene gjennomføres.</t>
  </si>
  <si>
    <t xml:space="preserve">Kupongrenten har fast rente over lånets løpetid. Altså vil renten være den samme ved hver innbetaling.  </t>
  </si>
  <si>
    <t xml:space="preserve">Markedsrenten er flytende eller varierende over tid, derfor vil ikke renten være det samme ved hver innbetaling. </t>
  </si>
  <si>
    <t xml:space="preserve">År </t>
  </si>
  <si>
    <t xml:space="preserve">Kupongrente </t>
  </si>
  <si>
    <t xml:space="preserve">Emisjonbeløp </t>
  </si>
  <si>
    <t xml:space="preserve">Renter </t>
  </si>
  <si>
    <t xml:space="preserve">Renter og avdrag </t>
  </si>
  <si>
    <t>Pålydende</t>
  </si>
  <si>
    <t>Markedsrente</t>
  </si>
  <si>
    <t>1 d)</t>
  </si>
  <si>
    <t>Facebook</t>
  </si>
  <si>
    <t>Twitter</t>
  </si>
  <si>
    <t>Louis Vuitton</t>
  </si>
  <si>
    <t>Hennes&amp;Mauritz</t>
  </si>
  <si>
    <t>S&amp;P 500</t>
  </si>
  <si>
    <t>Beta</t>
  </si>
  <si>
    <t>P/E</t>
  </si>
  <si>
    <t>Dividend Yield</t>
  </si>
  <si>
    <t>Debt/Equity</t>
  </si>
  <si>
    <t>na</t>
  </si>
  <si>
    <t>Pris per aksje</t>
  </si>
  <si>
    <t>Oppgave 2</t>
  </si>
  <si>
    <t xml:space="preserve">a) </t>
  </si>
  <si>
    <t>b)</t>
  </si>
  <si>
    <t>Forventet avkastning = beta * markedsavkastning = 0.4 * 10% = 4%</t>
  </si>
  <si>
    <t>c)</t>
  </si>
  <si>
    <t>Twitter, selskapet har beta på 0.4 og forventet avkastning lavere enn markedet ved en børsoppgang på grunn av lavere systematisk risisko.</t>
  </si>
  <si>
    <t>d)</t>
  </si>
  <si>
    <t>Prosjekt data:</t>
  </si>
  <si>
    <t>Skattesats</t>
  </si>
  <si>
    <t>lånerente</t>
  </si>
  <si>
    <t>Avskrivningssats</t>
  </si>
  <si>
    <t>Lagrings og kreditt tider</t>
  </si>
  <si>
    <t>Råvarelager</t>
  </si>
  <si>
    <t>Kundefordringer</t>
  </si>
  <si>
    <t>Leverandørgjeld</t>
  </si>
  <si>
    <t>a)</t>
  </si>
  <si>
    <t xml:space="preserve">Produksjon/salg </t>
  </si>
  <si>
    <t>Volum/år</t>
  </si>
  <si>
    <t>Volum/uke</t>
  </si>
  <si>
    <t>Bindingstid</t>
  </si>
  <si>
    <t>Beholdning</t>
  </si>
  <si>
    <t>Verdi</t>
  </si>
  <si>
    <t>Arbeidskapital</t>
  </si>
  <si>
    <t>enh.</t>
  </si>
  <si>
    <t>Uker</t>
  </si>
  <si>
    <t>kr/enh.</t>
  </si>
  <si>
    <t>- Råvareleverandører</t>
  </si>
  <si>
    <t>= Arbeidskapitalbehov</t>
  </si>
  <si>
    <t>Antall uker per år</t>
  </si>
  <si>
    <t>Omsetning</t>
  </si>
  <si>
    <t>Arbeidskapital %</t>
  </si>
  <si>
    <t>Lånesaldo 1/1</t>
  </si>
  <si>
    <t>Årlig renter + avdrag</t>
  </si>
  <si>
    <t>Renter</t>
  </si>
  <si>
    <t>Avdrag</t>
  </si>
  <si>
    <t>Lånesaldo 31/12</t>
  </si>
  <si>
    <t>Salgsbudsjett</t>
  </si>
  <si>
    <t>Anleggsinvestering</t>
  </si>
  <si>
    <t>Bet. bare faste kostn.</t>
  </si>
  <si>
    <t>AK i % av omsetning</t>
  </si>
  <si>
    <t>Inflasjon</t>
  </si>
  <si>
    <t>inflasjonsfaktor</t>
  </si>
  <si>
    <t>-Anleggsinvestering</t>
  </si>
  <si>
    <t>Salgsinntekter</t>
  </si>
  <si>
    <t>VK</t>
  </si>
  <si>
    <t>=dekningsbidrag</t>
  </si>
  <si>
    <t>-FK betalbare</t>
  </si>
  <si>
    <t>-avskrivninger</t>
  </si>
  <si>
    <t>-rentekostnader</t>
  </si>
  <si>
    <t>=skattbart overskudd</t>
  </si>
  <si>
    <t>-skatt</t>
  </si>
  <si>
    <t>=Resultat etter skatt</t>
  </si>
  <si>
    <t>+avskrivninger</t>
  </si>
  <si>
    <t>+låneopptak/-avdrag</t>
  </si>
  <si>
    <t>=NKSEKES</t>
  </si>
  <si>
    <t>nedbetaling</t>
  </si>
  <si>
    <t>Rente</t>
  </si>
  <si>
    <t>e)</t>
  </si>
  <si>
    <t>f)</t>
  </si>
  <si>
    <t>Forventet inflasjon år 1 til 3</t>
  </si>
  <si>
    <t>Salgsvolum første driftsår (enheter)</t>
  </si>
  <si>
    <t>Investeringsbeløp (kroner)</t>
  </si>
  <si>
    <t>Faste kostnader (kroner)</t>
  </si>
  <si>
    <t>lånebeløp (kroner)</t>
  </si>
  <si>
    <t>Salgspris (per enhet)</t>
  </si>
  <si>
    <t>Råmaterialer (per enhet)</t>
  </si>
  <si>
    <t>Variabel produksjonslønn (per enhet)</t>
  </si>
  <si>
    <t>Bindingstid i måneder</t>
  </si>
  <si>
    <t>Produksjon per år (uker)</t>
  </si>
  <si>
    <r>
      <t xml:space="preserve">Hjelpetabell: beregning av renter og avdrag for et </t>
    </r>
    <r>
      <rPr>
        <b/>
        <sz val="10"/>
        <rFont val="Arial"/>
        <family val="2"/>
      </rPr>
      <t>serielån</t>
    </r>
  </si>
  <si>
    <t>AK behov</t>
  </si>
  <si>
    <t>+endring  i AK</t>
  </si>
  <si>
    <t>rest</t>
  </si>
  <si>
    <t>ÅR</t>
  </si>
  <si>
    <t>INNDATA</t>
  </si>
  <si>
    <t>UTDATA (inflasjonsjustert)</t>
  </si>
  <si>
    <t>NKSTotalkapitalen</t>
  </si>
  <si>
    <t>Salgsvolum år 2 til 10 (enheter)</t>
  </si>
  <si>
    <t>Avdragsfritt (år)</t>
  </si>
  <si>
    <t>Forventet prosjekt levetid (år)</t>
  </si>
  <si>
    <t>Forventet inflasjon år 4 til og med 10</t>
  </si>
  <si>
    <t>Arbeidskapital = Omløpsmidler - Kortsiktig gjeld, når du reduserer omløpsmidlene frigjør du kapital.</t>
  </si>
  <si>
    <t>Nåverdi NKSEKES</t>
  </si>
  <si>
    <t>Internrente</t>
  </si>
  <si>
    <t>Nåverdiprofilene viser sammenhengen mellom kapitalkostnad og nåverdi. Dersom kapitalkravet er mindre enn internrenta (der nåverdiprofilen krysser x-aksen) er prosjektet lønnsomt.</t>
  </si>
  <si>
    <t>som er ca 6 år og 6 måneder.</t>
  </si>
  <si>
    <t>d) nedbetalingstid</t>
  </si>
  <si>
    <t>Nåverdien tar hensyn til pengers tidsverdi.</t>
  </si>
  <si>
    <t>Periode</t>
  </si>
  <si>
    <t>Avkastning</t>
  </si>
  <si>
    <t>AS TRADE</t>
  </si>
  <si>
    <t>MARKEDET</t>
  </si>
  <si>
    <t>denne utrykker den systematiske risikoen fra posisjonen i en diversifisert portefølje</t>
  </si>
  <si>
    <t>r ek = rf + b * 6%</t>
  </si>
  <si>
    <t>r ek =</t>
  </si>
  <si>
    <t>Forutsetningen for å bruke KVM er at investor har en diversifisert portefølje.</t>
  </si>
  <si>
    <t xml:space="preserve">g) </t>
  </si>
  <si>
    <t>ek</t>
  </si>
  <si>
    <t>r</t>
  </si>
  <si>
    <t>du kjøper S&amp;P 500 da den er mest diversifisert (500 selskaper).</t>
  </si>
  <si>
    <t xml:space="preserve">Fordelen med en diversifisert portefølje er at vi minimerer selskapsspesifik (usystematisk) risiko </t>
  </si>
  <si>
    <t>S&amp;P 500 representerer markedsavkastningen og vil ha en beta tilnærmet lik 1.</t>
  </si>
  <si>
    <t>h)</t>
  </si>
  <si>
    <t>Gjør investeringen, positivt nåverdi, høyere IR enn kapitatalkostnad.</t>
  </si>
  <si>
    <t>Nåverdi NKSTotalkapitalen</t>
  </si>
  <si>
    <t xml:space="preserve">, og </t>
  </si>
  <si>
    <t>Selskap A</t>
  </si>
  <si>
    <t>Selskap B</t>
  </si>
  <si>
    <t>Avdragstid (år)</t>
  </si>
  <si>
    <t>En etf er et børsnotert fond som handler som en aksje på børs.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</si>
</sst>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_-* #,##0_-;\-* #,##0_-;_-* &quot;-&quot;??_-;_-@_-"/>
    <numFmt numFmtId="169" formatCode="_ * #,##0.00_ ;_ * \-#,##0.00_ ;_ * &quot;-&quot;??_ ;_ @_ "/>
    <numFmt numFmtId="170" formatCode="_ * #,##0_ ;_ * \-#,##0_ ;_ * &quot;-&quot;??_ ;_ @_ "/>
    <numFmt numFmtId="171" formatCode="_ * #,##0.0000_ ;_ * \-#,##0.0000_ ;_ * &quot;-&quot;??_ ;_ @_ "/>
    <numFmt numFmtId="172" formatCode="0.0\ %"/>
    <numFmt numFmtId="173" formatCode="*##\ ###\ ###"/>
    <numFmt numFmtId="174" formatCode="\ 000.00"/>
    <numFmt numFmtId="175" formatCode="\ 0\ 000\ 000"/>
    <numFmt numFmtId="176" formatCode="\ 000\ 000"/>
    <numFmt numFmtId="177" formatCode="\ 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3" borderId="1" xfId="0" applyFill="1" applyBorder="1"/>
    <xf numFmtId="9" fontId="0" fillId="3" borderId="0" xfId="0" applyNumberFormat="1" applyFill="1"/>
    <xf numFmtId="0" fontId="0" fillId="3" borderId="2" xfId="0" applyFill="1" applyBorder="1"/>
    <xf numFmtId="165" fontId="0" fillId="3" borderId="0" xfId="0" applyNumberFormat="1" applyFill="1"/>
    <xf numFmtId="166" fontId="0" fillId="3" borderId="0" xfId="1" applyNumberFormat="1" applyFont="1" applyFill="1"/>
    <xf numFmtId="167" fontId="0" fillId="3" borderId="0" xfId="1" applyNumberFormat="1" applyFont="1" applyFill="1"/>
    <xf numFmtId="0" fontId="1" fillId="0" borderId="0" xfId="3"/>
    <xf numFmtId="0" fontId="1" fillId="0" borderId="3" xfId="3" applyBorder="1"/>
    <xf numFmtId="0" fontId="1" fillId="0" borderId="3" xfId="3" applyBorder="1" applyAlignment="1">
      <alignment horizontal="center"/>
    </xf>
    <xf numFmtId="168" fontId="0" fillId="0" borderId="3" xfId="4" applyNumberFormat="1" applyFont="1" applyBorder="1"/>
    <xf numFmtId="168" fontId="0" fillId="0" borderId="1" xfId="4" applyNumberFormat="1" applyFont="1" applyBorder="1"/>
    <xf numFmtId="0" fontId="0" fillId="3" borderId="0" xfId="3" applyFont="1" applyFill="1"/>
    <xf numFmtId="9" fontId="1" fillId="3" borderId="0" xfId="3" applyNumberFormat="1" applyFill="1"/>
    <xf numFmtId="0" fontId="1" fillId="3" borderId="0" xfId="3" applyFill="1"/>
    <xf numFmtId="0" fontId="0" fillId="0" borderId="3" xfId="3" applyFont="1" applyBorder="1"/>
    <xf numFmtId="9" fontId="1" fillId="0" borderId="1" xfId="3" applyNumberFormat="1" applyBorder="1"/>
    <xf numFmtId="9" fontId="0" fillId="0" borderId="1" xfId="5" applyFont="1" applyBorder="1"/>
    <xf numFmtId="165" fontId="0" fillId="0" borderId="0" xfId="2" applyNumberFormat="1" applyFont="1"/>
    <xf numFmtId="17" fontId="0" fillId="0" borderId="0" xfId="0" applyNumberFormat="1"/>
    <xf numFmtId="0" fontId="4" fillId="3" borderId="0" xfId="0" applyFont="1" applyFill="1"/>
    <xf numFmtId="166" fontId="4" fillId="3" borderId="0" xfId="1" applyNumberFormat="1" applyFont="1" applyFill="1"/>
    <xf numFmtId="0" fontId="0" fillId="3" borderId="0" xfId="0" applyFill="1" applyAlignment="1">
      <alignment horizontal="right"/>
    </xf>
    <xf numFmtId="0" fontId="5" fillId="3" borderId="0" xfId="0" applyFont="1" applyFill="1"/>
    <xf numFmtId="0" fontId="4" fillId="3" borderId="0" xfId="6" quotePrefix="1" applyFont="1" applyFill="1" applyAlignment="1">
      <alignment horizontal="left"/>
    </xf>
    <xf numFmtId="167" fontId="4" fillId="3" borderId="0" xfId="1" quotePrefix="1" applyNumberFormat="1" applyFont="1" applyFill="1" applyAlignment="1">
      <alignment horizontal="right"/>
    </xf>
    <xf numFmtId="170" fontId="6" fillId="3" borderId="0" xfId="7" quotePrefix="1" applyNumberFormat="1" applyFont="1" applyFill="1" applyAlignment="1">
      <alignment horizontal="left"/>
    </xf>
    <xf numFmtId="170" fontId="6" fillId="3" borderId="0" xfId="7" applyNumberFormat="1" applyFont="1" applyFill="1" applyAlignment="1">
      <alignment horizontal="left"/>
    </xf>
    <xf numFmtId="0" fontId="4" fillId="3" borderId="4" xfId="0" applyFont="1" applyFill="1" applyBorder="1"/>
    <xf numFmtId="0" fontId="6" fillId="3" borderId="0" xfId="6" applyFill="1"/>
    <xf numFmtId="0" fontId="6" fillId="3" borderId="0" xfId="6" applyFont="1" applyFill="1"/>
    <xf numFmtId="167" fontId="6" fillId="3" borderId="8" xfId="9" applyNumberFormat="1" applyFont="1" applyFill="1" applyBorder="1"/>
    <xf numFmtId="0" fontId="8" fillId="2" borderId="0" xfId="6" applyFont="1" applyFill="1"/>
    <xf numFmtId="0" fontId="8" fillId="2" borderId="0" xfId="6" quotePrefix="1" applyFont="1" applyFill="1" applyAlignment="1">
      <alignment horizontal="left"/>
    </xf>
    <xf numFmtId="167" fontId="9" fillId="3" borderId="0" xfId="9" applyNumberFormat="1" applyFont="1" applyFill="1"/>
    <xf numFmtId="0" fontId="9" fillId="3" borderId="5" xfId="6" applyFont="1" applyFill="1" applyBorder="1"/>
    <xf numFmtId="0" fontId="9" fillId="3" borderId="0" xfId="6" applyFont="1" applyFill="1"/>
    <xf numFmtId="167" fontId="6" fillId="3" borderId="0" xfId="9" applyNumberFormat="1" applyFont="1" applyFill="1"/>
    <xf numFmtId="0" fontId="9" fillId="3" borderId="6" xfId="6" applyFont="1" applyFill="1" applyBorder="1"/>
    <xf numFmtId="0" fontId="6" fillId="3" borderId="0" xfId="6" quotePrefix="1" applyFill="1" applyAlignment="1">
      <alignment horizontal="left"/>
    </xf>
    <xf numFmtId="0" fontId="9" fillId="3" borderId="7" xfId="6" applyFont="1" applyFill="1" applyBorder="1"/>
    <xf numFmtId="0" fontId="6" fillId="3" borderId="9" xfId="6" quotePrefix="1" applyFill="1" applyBorder="1" applyAlignment="1">
      <alignment horizontal="left"/>
    </xf>
    <xf numFmtId="0" fontId="9" fillId="3" borderId="10" xfId="6" applyFont="1" applyFill="1" applyBorder="1"/>
    <xf numFmtId="0" fontId="6" fillId="3" borderId="9" xfId="6" applyFill="1" applyBorder="1"/>
    <xf numFmtId="0" fontId="6" fillId="3" borderId="11" xfId="6" applyFill="1" applyBorder="1"/>
    <xf numFmtId="167" fontId="6" fillId="3" borderId="9" xfId="9" applyNumberFormat="1" applyFont="1" applyFill="1" applyBorder="1"/>
    <xf numFmtId="0" fontId="9" fillId="3" borderId="8" xfId="6" applyFont="1" applyFill="1" applyBorder="1"/>
    <xf numFmtId="2" fontId="6" fillId="3" borderId="0" xfId="6" applyNumberFormat="1" applyFill="1"/>
    <xf numFmtId="9" fontId="6" fillId="3" borderId="0" xfId="10" applyNumberFormat="1" applyFont="1" applyFill="1" applyAlignment="1">
      <alignment horizontal="right" indent="2"/>
    </xf>
    <xf numFmtId="170" fontId="6" fillId="3" borderId="0" xfId="7" applyNumberFormat="1" applyFill="1"/>
    <xf numFmtId="170" fontId="10" fillId="3" borderId="0" xfId="7" applyNumberFormat="1" applyFont="1" applyFill="1"/>
    <xf numFmtId="170" fontId="8" fillId="2" borderId="0" xfId="7" applyNumberFormat="1" applyFont="1" applyFill="1"/>
    <xf numFmtId="170" fontId="6" fillId="3" borderId="0" xfId="7" applyNumberFormat="1" applyFont="1" applyFill="1"/>
    <xf numFmtId="9" fontId="6" fillId="3" borderId="0" xfId="10" applyFont="1" applyFill="1"/>
    <xf numFmtId="170" fontId="11" fillId="2" borderId="0" xfId="7" applyNumberFormat="1" applyFont="1" applyFill="1"/>
    <xf numFmtId="170" fontId="6" fillId="3" borderId="0" xfId="7" applyNumberFormat="1" applyFont="1" applyFill="1" applyAlignment="1">
      <alignment horizontal="center"/>
    </xf>
    <xf numFmtId="171" fontId="6" fillId="3" borderId="0" xfId="7" applyNumberFormat="1" applyFill="1" applyAlignment="1">
      <alignment horizontal="center"/>
    </xf>
    <xf numFmtId="171" fontId="6" fillId="3" borderId="0" xfId="7" quotePrefix="1" applyNumberFormat="1" applyFill="1" applyAlignment="1">
      <alignment horizontal="center"/>
    </xf>
    <xf numFmtId="170" fontId="6" fillId="3" borderId="0" xfId="6" applyNumberFormat="1" applyFill="1"/>
    <xf numFmtId="170" fontId="6" fillId="3" borderId="4" xfId="7" applyNumberFormat="1" applyFont="1" applyFill="1" applyBorder="1" applyAlignment="1">
      <alignment horizontal="left"/>
    </xf>
    <xf numFmtId="170" fontId="6" fillId="3" borderId="4" xfId="7" applyNumberFormat="1" applyFill="1" applyBorder="1"/>
    <xf numFmtId="170" fontId="6" fillId="3" borderId="4" xfId="7" quotePrefix="1" applyNumberFormat="1" applyFont="1" applyFill="1" applyBorder="1" applyAlignment="1">
      <alignment horizontal="left"/>
    </xf>
    <xf numFmtId="10" fontId="6" fillId="3" borderId="0" xfId="10" applyNumberFormat="1" applyFont="1" applyFill="1"/>
    <xf numFmtId="170" fontId="6" fillId="3" borderId="12" xfId="7" applyNumberFormat="1" applyFill="1" applyBorder="1"/>
    <xf numFmtId="170" fontId="6" fillId="3" borderId="13" xfId="7" applyNumberFormat="1" applyFill="1" applyBorder="1"/>
    <xf numFmtId="172" fontId="6" fillId="3" borderId="0" xfId="10" applyNumberFormat="1" applyFont="1" applyFill="1"/>
    <xf numFmtId="169" fontId="6" fillId="3" borderId="0" xfId="7" applyNumberFormat="1" applyFill="1"/>
    <xf numFmtId="165" fontId="6" fillId="3" borderId="0" xfId="10" applyNumberFormat="1" applyFont="1" applyFill="1"/>
    <xf numFmtId="0" fontId="8" fillId="3" borderId="0" xfId="6" applyFont="1" applyFill="1"/>
    <xf numFmtId="170" fontId="8" fillId="3" borderId="0" xfId="7" applyNumberFormat="1" applyFont="1" applyFill="1"/>
    <xf numFmtId="170" fontId="8" fillId="3" borderId="0" xfId="7" applyNumberFormat="1" applyFont="1" applyFill="1" applyAlignment="1">
      <alignment horizontal="center"/>
    </xf>
    <xf numFmtId="170" fontId="8" fillId="3" borderId="0" xfId="7" quotePrefix="1" applyNumberFormat="1" applyFont="1" applyFill="1" applyAlignment="1">
      <alignment horizontal="center"/>
    </xf>
    <xf numFmtId="170" fontId="11" fillId="3" borderId="0" xfId="7" applyNumberFormat="1" applyFont="1" applyFill="1"/>
    <xf numFmtId="170" fontId="11" fillId="3" borderId="0" xfId="7" applyNumberFormat="1" applyFont="1" applyFill="1" applyAlignment="1">
      <alignment horizontal="center"/>
    </xf>
    <xf numFmtId="170" fontId="11" fillId="3" borderId="0" xfId="7" quotePrefix="1" applyNumberFormat="1" applyFont="1" applyFill="1" applyAlignment="1">
      <alignment horizontal="center"/>
    </xf>
    <xf numFmtId="0" fontId="4" fillId="3" borderId="4" xfId="0" applyFont="1" applyFill="1" applyBorder="1" applyAlignment="1">
      <alignment horizontal="right" wrapText="1"/>
    </xf>
    <xf numFmtId="167" fontId="6" fillId="3" borderId="0" xfId="9" applyNumberFormat="1" applyFont="1" applyFill="1" applyBorder="1"/>
    <xf numFmtId="167" fontId="4" fillId="3" borderId="0" xfId="1" applyNumberFormat="1" applyFont="1" applyFill="1"/>
    <xf numFmtId="164" fontId="6" fillId="3" borderId="0" xfId="7" applyNumberFormat="1" applyFill="1"/>
    <xf numFmtId="170" fontId="6" fillId="3" borderId="1" xfId="7" applyNumberFormat="1" applyFont="1" applyFill="1" applyBorder="1"/>
    <xf numFmtId="170" fontId="6" fillId="3" borderId="1" xfId="7" applyNumberFormat="1" applyFill="1" applyBorder="1"/>
    <xf numFmtId="0" fontId="11" fillId="2" borderId="0" xfId="1" applyNumberFormat="1" applyFont="1" applyFill="1"/>
    <xf numFmtId="172" fontId="0" fillId="3" borderId="0" xfId="0" applyNumberFormat="1" applyFill="1"/>
    <xf numFmtId="170" fontId="6" fillId="4" borderId="12" xfId="7" quotePrefix="1" applyNumberFormat="1" applyFont="1" applyFill="1" applyBorder="1" applyAlignment="1">
      <alignment horizontal="left"/>
    </xf>
    <xf numFmtId="170" fontId="6" fillId="4" borderId="13" xfId="7" applyNumberFormat="1" applyFill="1" applyBorder="1"/>
    <xf numFmtId="170" fontId="6" fillId="4" borderId="14" xfId="7" applyNumberFormat="1" applyFill="1" applyBorder="1"/>
    <xf numFmtId="170" fontId="12" fillId="3" borderId="4" xfId="7" quotePrefix="1" applyNumberFormat="1" applyFont="1" applyFill="1" applyBorder="1" applyAlignment="1">
      <alignment horizontal="left"/>
    </xf>
    <xf numFmtId="170" fontId="12" fillId="3" borderId="0" xfId="7" quotePrefix="1" applyNumberFormat="1" applyFont="1" applyFill="1" applyAlignment="1">
      <alignment horizontal="left"/>
    </xf>
    <xf numFmtId="170" fontId="0" fillId="3" borderId="0" xfId="0" applyNumberFormat="1" applyFill="1"/>
    <xf numFmtId="9" fontId="6" fillId="3" borderId="12" xfId="10" applyFont="1" applyFill="1" applyBorder="1"/>
    <xf numFmtId="172" fontId="6" fillId="3" borderId="14" xfId="10" applyNumberFormat="1" applyFont="1" applyFill="1" applyBorder="1"/>
    <xf numFmtId="170" fontId="11" fillId="2" borderId="0" xfId="7" applyNumberFormat="1" applyFont="1" applyFill="1" applyAlignment="1">
      <alignment horizontal="right"/>
    </xf>
    <xf numFmtId="165" fontId="11" fillId="2" borderId="0" xfId="10" applyNumberFormat="1" applyFont="1" applyFill="1"/>
    <xf numFmtId="0" fontId="0" fillId="3" borderId="15" xfId="0" applyFill="1" applyBorder="1"/>
    <xf numFmtId="167" fontId="0" fillId="3" borderId="16" xfId="1" applyNumberFormat="1" applyFont="1" applyFill="1" applyBorder="1"/>
    <xf numFmtId="0" fontId="0" fillId="3" borderId="17" xfId="0" applyFill="1" applyBorder="1"/>
    <xf numFmtId="167" fontId="0" fillId="3" borderId="18" xfId="1" applyNumberFormat="1" applyFont="1" applyFill="1" applyBorder="1"/>
    <xf numFmtId="167" fontId="0" fillId="3" borderId="0" xfId="0" applyNumberFormat="1" applyFill="1"/>
    <xf numFmtId="9" fontId="0" fillId="3" borderId="0" xfId="2" applyNumberFormat="1" applyFont="1" applyFill="1"/>
    <xf numFmtId="9" fontId="0" fillId="3" borderId="0" xfId="2" applyNumberFormat="1" applyFont="1" applyFill="1" applyAlignment="1">
      <alignment horizontal="right"/>
    </xf>
    <xf numFmtId="9" fontId="0" fillId="3" borderId="0" xfId="0" applyNumberFormat="1" applyFill="1"/>
    <xf numFmtId="9" fontId="0" fillId="3" borderId="0" xfId="0" applyNumberFormat="1" applyFill="1" applyAlignment="1">
      <alignment horizontal="right"/>
    </xf>
    <xf numFmtId="1" fontId="0" fillId="3" borderId="0" xfId="0" applyNumberFormat="1" applyFill="1"/>
    <xf numFmtId="173" fontId="4" fillId="3" borderId="0" xfId="1" applyNumberFormat="1" applyFont="1" applyFill="1"/>
    <xf numFmtId="173" fontId="4" fillId="3" borderId="0" xfId="1" quotePrefix="1" applyNumberFormat="1" applyFont="1" applyFill="1" applyAlignment="1">
      <alignment horizontal="left"/>
    </xf>
    <xf numFmtId="173" fontId="0" fillId="3" borderId="0" xfId="1" applyNumberFormat="1" applyFont="1" applyFill="1"/>
    <xf numFmtId="174" fontId="0" fillId="3" borderId="0" xfId="1" applyNumberFormat="1" applyFont="1" applyFill="1"/>
    <xf numFmtId="175" fontId="4" fillId="3" borderId="0" xfId="1" quotePrefix="1" applyNumberFormat="1" applyFont="1" applyFill="1" applyAlignment="1">
      <alignment horizontal="right"/>
    </xf>
    <xf numFmtId="176" fontId="4" fillId="3" borderId="0" xfId="1" quotePrefix="1" applyNumberFormat="1" applyFont="1" applyFill="1" applyAlignment="1">
      <alignment horizontal="right"/>
    </xf>
    <xf numFmtId="9" fontId="4" fillId="3" borderId="0" xfId="6" quotePrefix="1" applyNumberFormat="1" applyFont="1" applyFill="1" applyAlignment="1">
      <alignment horizontal="right"/>
    </xf>
    <xf numFmtId="177" fontId="4" fillId="3" borderId="0" xfId="1" quotePrefix="1" applyNumberFormat="1" applyFont="1" applyFill="1" applyAlignment="1">
      <alignment horizontal="right"/>
    </xf>
    <xf numFmtId="177" fontId="4" fillId="3" borderId="0" xfId="1" applyNumberFormat="1" applyFont="1" applyFill="1"/>
    <xf numFmtId="1" fontId="4" fillId="3" borderId="0" xfId="1" applyNumberFormat="1" applyFont="1" applyFill="1"/>
    <xf numFmtId="9" fontId="6" fillId="3" borderId="0" xfId="10" applyNumberFormat="1" applyFont="1" applyFill="1"/>
  </cellXfs>
  <cellStyles count="11">
    <cellStyle name="Komma" xfId="1" builtinId="3"/>
    <cellStyle name="Komma 2" xfId="4"/>
    <cellStyle name="Komma 3" xfId="9"/>
    <cellStyle name="Normal" xfId="0" builtinId="0"/>
    <cellStyle name="Normal 2" xfId="3"/>
    <cellStyle name="Normal 3" xfId="8"/>
    <cellStyle name="Normal_P_Dal" xfId="6"/>
    <cellStyle name="Prosent" xfId="2" builtinId="5"/>
    <cellStyle name="Prosent 2" xfId="5"/>
    <cellStyle name="Prosent 3" xfId="10"/>
    <cellStyle name="Tusenskille_P_Dal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Nåverdiprofil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1'!$C$35</c:f>
              <c:strCache>
                <c:ptCount val="1"/>
                <c:pt idx="0">
                  <c:v>Selskap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'Oppgave 1'!$B$36:$B$46</c:f>
              <c:numCache>
                <c:formatCode>0%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</c:numCache>
            </c:numRef>
          </c:cat>
          <c:val>
            <c:numRef>
              <c:f>'Oppgave 1'!$C$36:$C$46</c:f>
              <c:numCache>
                <c:formatCode>_(* #\ ##0.0_);_(* \(#\ ##0.0\);_(* "-"??_);_(@_)</c:formatCode>
                <c:ptCount val="11"/>
                <c:pt idx="0">
                  <c:v>15</c:v>
                </c:pt>
                <c:pt idx="1">
                  <c:v>11.827827184210022</c:v>
                </c:pt>
                <c:pt idx="2">
                  <c:v>8.8955100374534197</c:v>
                </c:pt>
                <c:pt idx="3">
                  <c:v>6.1812170206549695</c:v>
                </c:pt>
                <c:pt idx="4">
                  <c:v>3.6653746761301633</c:v>
                </c:pt>
                <c:pt idx="5">
                  <c:v>1.3304095751088667</c:v>
                </c:pt>
                <c:pt idx="6">
                  <c:v>-0.83947769151182428</c:v>
                </c:pt>
                <c:pt idx="7">
                  <c:v>-2.8585107544043922</c:v>
                </c:pt>
                <c:pt idx="8">
                  <c:v>-4.7395116063513498</c:v>
                </c:pt>
                <c:pt idx="9">
                  <c:v>-6.4940537930459499</c:v>
                </c:pt>
                <c:pt idx="10">
                  <c:v>-8.1325973657719288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E-4923-BF8D-B89AD335BFC9}"/>
            </c:ext>
          </c:extLst>
        </c:ser>
        <c:ser>
          <c:idx val="1"/>
          <c:order val="1"/>
          <c:tx>
            <c:strRef>
              <c:f>'Oppgave 1'!$D$35</c:f>
              <c:strCache>
                <c:ptCount val="1"/>
                <c:pt idx="0">
                  <c:v>Selskap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'Oppgave 1'!$B$36:$B$46</c:f>
              <c:numCache>
                <c:formatCode>0%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</c:numCache>
            </c:numRef>
          </c:cat>
          <c:val>
            <c:numRef>
              <c:f>'Oppgave 1'!$D$36:$D$46</c:f>
              <c:numCache>
                <c:formatCode>_(* #\ ##0.0_);_(* \(#\ ##0.0\);_(* "-"??_);_(@_)</c:formatCode>
                <c:ptCount val="11"/>
                <c:pt idx="0">
                  <c:v>8</c:v>
                </c:pt>
                <c:pt idx="1">
                  <c:v>6.8751206101862969</c:v>
                </c:pt>
                <c:pt idx="2">
                  <c:v>5.8078698987971897</c:v>
                </c:pt>
                <c:pt idx="3">
                  <c:v>4.7945529413300321</c:v>
                </c:pt>
                <c:pt idx="4">
                  <c:v>3.8317527121049331</c:v>
                </c:pt>
                <c:pt idx="5">
                  <c:v>2.9163063699709539</c:v>
                </c:pt>
                <c:pt idx="6">
                  <c:v>2.0452837930296432</c:v>
                </c:pt>
                <c:pt idx="7">
                  <c:v>1.2159681287025812</c:v>
                </c:pt>
                <c:pt idx="8">
                  <c:v>0.4258381517865395</c:v>
                </c:pt>
                <c:pt idx="9">
                  <c:v>-0.32744775372987434</c:v>
                </c:pt>
                <c:pt idx="10">
                  <c:v>-1.0460661529577671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E-4923-BF8D-B89AD335BFC9}"/>
            </c:ext>
          </c:extLst>
        </c:ser>
        <c:ser>
          <c:idx val="2"/>
          <c:order val="2"/>
          <c:tx>
            <c:strRef>
              <c:f>'Oppgave 1'!$E$35</c:f>
              <c:strCache>
                <c:ptCount val="1"/>
                <c:pt idx="0">
                  <c:v>Differanse 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'Oppgave 1'!$B$36:$B$46</c:f>
              <c:numCache>
                <c:formatCode>0%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</c:numCache>
            </c:numRef>
          </c:cat>
          <c:val>
            <c:numRef>
              <c:f>'Oppgave 1'!$E$36:$E$46</c:f>
              <c:numCache>
                <c:formatCode>_(* #\ ##0.0_);_(* \(#\ ##0.0\);_(* "-"??_);_(@_)</c:formatCode>
                <c:ptCount val="11"/>
                <c:pt idx="0">
                  <c:v>7</c:v>
                </c:pt>
                <c:pt idx="1">
                  <c:v>4.9527065740237255</c:v>
                </c:pt>
                <c:pt idx="2">
                  <c:v>3.08764013865623</c:v>
                </c:pt>
                <c:pt idx="3">
                  <c:v>1.386664079324941</c:v>
                </c:pt>
                <c:pt idx="4">
                  <c:v>-0.16637803597476619</c:v>
                </c:pt>
                <c:pt idx="5">
                  <c:v>-1.5858967948620908</c:v>
                </c:pt>
                <c:pt idx="6">
                  <c:v>-2.8847614845414711</c:v>
                </c:pt>
                <c:pt idx="7">
                  <c:v>-4.0744788831069805</c:v>
                </c:pt>
                <c:pt idx="8">
                  <c:v>-5.1653497581378875</c:v>
                </c:pt>
                <c:pt idx="9">
                  <c:v>-6.1666060393160844</c:v>
                </c:pt>
                <c:pt idx="10">
                  <c:v>-7.0865312128141547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E-4923-BF8D-B89AD335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2785487"/>
        <c:axId val="1832785903"/>
      </c:lineChart>
      <c:catAx>
        <c:axId val="183278548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2785903"/>
        <c:crosses val="autoZero"/>
        <c:auto val="1"/>
        <c:lblAlgn val="ctr"/>
        <c:lblOffset val="100"/>
        <c:noMultiLvlLbl val="0"/>
      </c:catAx>
      <c:valAx>
        <c:axId val="1832785903"/>
        <c:scaling>
          <c:orientation val="minMax"/>
        </c:scaling>
        <c:delete val="0"/>
        <c:axPos val="l"/>
        <c:numFmt formatCode="_(* #\ ##0.0_);_(* \(#\ 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2785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Nåverdiprofil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3'!$L$90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'oppgave 3'!$K$91:$K$108</c:f>
              <c:numCache>
                <c:formatCode>0%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</c:numCache>
            </c:numRef>
          </c:cat>
          <c:val>
            <c:numRef>
              <c:f>'oppgave 3'!$L$91:$L$108</c:f>
              <c:numCache>
                <c:formatCode>_ * #\ ##0_ ;_ * \-#\ ##0_ ;_ * "-"??_ ;_ @_ 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4-45CF-A2B5-3367B1FA2E9C}"/>
            </c:ext>
          </c:extLst>
        </c:ser>
        <c:ser>
          <c:idx val="1"/>
          <c:order val="1"/>
          <c:tx>
            <c:strRef>
              <c:f>'oppgave 3'!$M$90</c:f>
              <c:strCache>
                <c:ptCount val="1"/>
                <c:pt idx="0">
                  <c:v>Nåverdi NKSTotalkapitalen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'oppgave 3'!$M$91:$M$108</c:f>
              <c:numCache>
                <c:formatCode>_(* #\ ##0.00_);_(* \(#\ ##0.00\);_(* "-"??_);_(@_)</c:formatCode>
                <c:ptCount val="18"/>
                <c:pt idx="0">
                  <c:v>1906599.5583552662</c:v>
                </c:pt>
                <c:pt idx="1">
                  <c:v>1672925.2184594846</c:v>
                </c:pt>
                <c:pt idx="2">
                  <c:v>1457839.9166233195</c:v>
                </c:pt>
                <c:pt idx="3">
                  <c:v>1259581.0068798279</c:v>
                </c:pt>
                <c:pt idx="4">
                  <c:v>1076574.2937289672</c:v>
                </c:pt>
                <c:pt idx="5">
                  <c:v>907411.8995872275</c:v>
                </c:pt>
                <c:pt idx="6">
                  <c:v>750832.94438628806</c:v>
                </c:pt>
                <c:pt idx="7">
                  <c:v>605706.65468637412</c:v>
                </c:pt>
                <c:pt idx="8">
                  <c:v>471017.57500961516</c:v>
                </c:pt>
                <c:pt idx="9">
                  <c:v>345852.60097974865</c:v>
                </c:pt>
                <c:pt idx="10">
                  <c:v>229389.59363701846</c:v>
                </c:pt>
                <c:pt idx="11">
                  <c:v>120887.36811207281</c:v>
                </c:pt>
                <c:pt idx="12">
                  <c:v>19676.878631899599</c:v>
                </c:pt>
                <c:pt idx="13">
                  <c:v>-74846.553619165439</c:v>
                </c:pt>
                <c:pt idx="14">
                  <c:v>-163230.10229266994</c:v>
                </c:pt>
                <c:pt idx="15">
                  <c:v>-245969.5018968042</c:v>
                </c:pt>
                <c:pt idx="16">
                  <c:v>-323514.41725227167</c:v>
                </c:pt>
                <c:pt idx="17">
                  <c:v>-396273.20240699779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4-45CF-A2B5-3367B1FA2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5011455"/>
        <c:axId val="604043663"/>
        <c:extLst/>
      </c:lineChart>
      <c:catAx>
        <c:axId val="21150114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4043663"/>
        <c:crosses val="autoZero"/>
        <c:auto val="1"/>
        <c:lblAlgn val="ctr"/>
        <c:lblOffset val="100"/>
        <c:noMultiLvlLbl val="0"/>
      </c:catAx>
      <c:valAx>
        <c:axId val="604043663"/>
        <c:scaling>
          <c:orientation val="minMax"/>
        </c:scaling>
        <c:delete val="0"/>
        <c:axPos val="l"/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501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26</xdr:row>
      <xdr:rowOff>152400</xdr:rowOff>
    </xdr:from>
    <xdr:to>
      <xdr:col>14</xdr:col>
      <xdr:colOff>161924</xdr:colOff>
      <xdr:row>47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971549</xdr:colOff>
      <xdr:row>90</xdr:row>
      <xdr:rowOff>57150</xdr:rowOff>
    </xdr:from>
    <xdr:to>
      <xdr:col>8</xdr:col>
      <xdr:colOff>676274</xdr:colOff>
      <xdr:row>110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57149</xdr:colOff>
      <xdr:row>81</xdr:row>
      <xdr:rowOff>0</xdr:rowOff>
    </xdr:from>
    <xdr:to>
      <xdr:col>14</xdr:col>
      <xdr:colOff>495300</xdr:colOff>
      <xdr:row>83</xdr:row>
      <xdr:rowOff>57150</xdr:rowOff>
    </xdr:to>
    <xdr:sp macro="" textlink="">
      <xdr:nvSpPr>
        <xdr:cNvPr id="10" name="TekstSylinder 9"/>
        <xdr:cNvSpPr txBox="1"/>
      </xdr:nvSpPr>
      <xdr:spPr>
        <a:xfrm>
          <a:off x="11068049" y="17611725"/>
          <a:ext cx="1962151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kun 7 år med avdrag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3"/>
  <sheetViews>
    <sheetView tabSelected="1" workbookViewId="0">
      <selection activeCell="Q48" sqref="Q48:Q57"/>
    </sheetView>
  </sheetViews>
  <sheetFormatPr baseColWidth="10" defaultRowHeight="15" x14ac:dyDescent="0.25"/>
  <cols>
    <col min="1" max="1" width="12.85546875" style="3" bestFit="1" customWidth="1"/>
    <col min="2" max="3" width="17.7109375" style="3" bestFit="1" customWidth="1"/>
    <col min="4" max="6" width="11.42578125" style="3"/>
    <col min="7" max="8" width="17.85546875" style="3" bestFit="1" customWidth="1"/>
    <col min="9" max="16" width="11.42578125" style="3"/>
    <col min="17" max="17" width="14.140625" style="3" bestFit="1" customWidth="1"/>
    <col min="18" max="16384" width="11.42578125" style="3"/>
  </cols>
  <sheetData>
    <row r="2" spans="2:4" x14ac:dyDescent="0.25">
      <c r="B2" s="3" t="s">
        <v>15</v>
      </c>
    </row>
    <row r="3" spans="2:4" x14ac:dyDescent="0.25">
      <c r="B3" s="2"/>
      <c r="C3" s="2" t="s">
        <v>3</v>
      </c>
      <c r="D3" s="2" t="s">
        <v>4</v>
      </c>
    </row>
    <row r="4" spans="2:4" x14ac:dyDescent="0.25">
      <c r="B4" s="3" t="s">
        <v>17</v>
      </c>
      <c r="C4" s="3">
        <v>-4</v>
      </c>
      <c r="D4" s="3">
        <v>6</v>
      </c>
    </row>
    <row r="5" spans="2:4" x14ac:dyDescent="0.25">
      <c r="B5" s="3" t="s">
        <v>18</v>
      </c>
      <c r="C5" s="3">
        <v>1.5</v>
      </c>
      <c r="D5" s="3">
        <v>0</v>
      </c>
    </row>
    <row r="6" spans="2:4" ht="15.75" thickBot="1" x14ac:dyDescent="0.3">
      <c r="B6" s="6" t="s">
        <v>16</v>
      </c>
      <c r="C6" s="6">
        <f>+C4-C5</f>
        <v>-5.5</v>
      </c>
      <c r="D6" s="6">
        <f>+D4-D5</f>
        <v>6</v>
      </c>
    </row>
    <row r="8" spans="2:4" x14ac:dyDescent="0.25">
      <c r="B8" s="2"/>
      <c r="C8" s="2" t="s">
        <v>14</v>
      </c>
    </row>
    <row r="9" spans="2:4" x14ac:dyDescent="0.25">
      <c r="B9" s="3" t="s">
        <v>16</v>
      </c>
      <c r="C9" s="7">
        <f>IRR(C6:D6)</f>
        <v>9.090909090909105E-2</v>
      </c>
    </row>
    <row r="10" spans="2:4" x14ac:dyDescent="0.25">
      <c r="C10" s="5"/>
    </row>
    <row r="11" spans="2:4" x14ac:dyDescent="0.25">
      <c r="B11" s="3" t="s">
        <v>19</v>
      </c>
    </row>
    <row r="15" spans="2:4" x14ac:dyDescent="0.25">
      <c r="B15" s="3" t="s">
        <v>20</v>
      </c>
    </row>
    <row r="17" spans="2:13" x14ac:dyDescent="0.25">
      <c r="B17" s="2"/>
      <c r="C17" s="2" t="s">
        <v>152</v>
      </c>
      <c r="D17" s="2" t="s">
        <v>153</v>
      </c>
    </row>
    <row r="18" spans="2:13" x14ac:dyDescent="0.25">
      <c r="B18" s="4" t="s">
        <v>0</v>
      </c>
      <c r="C18" s="4">
        <v>45</v>
      </c>
      <c r="D18" s="4">
        <v>25</v>
      </c>
    </row>
    <row r="19" spans="2:13" x14ac:dyDescent="0.25">
      <c r="B19" s="4" t="s">
        <v>1</v>
      </c>
      <c r="C19" s="4">
        <v>6</v>
      </c>
      <c r="D19" s="4">
        <v>5.5</v>
      </c>
    </row>
    <row r="20" spans="2:13" x14ac:dyDescent="0.25">
      <c r="B20" s="4" t="s">
        <v>2</v>
      </c>
      <c r="C20" s="4">
        <v>10</v>
      </c>
      <c r="D20" s="4">
        <v>6</v>
      </c>
    </row>
    <row r="22" spans="2:13" x14ac:dyDescent="0.25"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  <c r="J22" s="2" t="s">
        <v>10</v>
      </c>
      <c r="K22" s="2" t="s">
        <v>11</v>
      </c>
      <c r="L22" s="2" t="s">
        <v>12</v>
      </c>
      <c r="M22" s="2" t="s">
        <v>13</v>
      </c>
    </row>
    <row r="23" spans="2:13" x14ac:dyDescent="0.25">
      <c r="B23" s="3" t="s">
        <v>152</v>
      </c>
      <c r="C23" s="3">
        <f>-C18</f>
        <v>-45</v>
      </c>
      <c r="D23" s="3">
        <f t="shared" ref="D23:M23" si="0">+$C$19</f>
        <v>6</v>
      </c>
      <c r="E23" s="3">
        <f t="shared" si="0"/>
        <v>6</v>
      </c>
      <c r="F23" s="3">
        <f t="shared" si="0"/>
        <v>6</v>
      </c>
      <c r="G23" s="3">
        <f t="shared" si="0"/>
        <v>6</v>
      </c>
      <c r="H23" s="3">
        <f t="shared" si="0"/>
        <v>6</v>
      </c>
      <c r="I23" s="3">
        <f t="shared" si="0"/>
        <v>6</v>
      </c>
      <c r="J23" s="3">
        <f t="shared" si="0"/>
        <v>6</v>
      </c>
      <c r="K23" s="3">
        <f t="shared" si="0"/>
        <v>6</v>
      </c>
      <c r="L23" s="3">
        <f t="shared" si="0"/>
        <v>6</v>
      </c>
      <c r="M23" s="3">
        <f t="shared" si="0"/>
        <v>6</v>
      </c>
    </row>
    <row r="24" spans="2:13" x14ac:dyDescent="0.25">
      <c r="B24" s="3" t="s">
        <v>153</v>
      </c>
      <c r="C24" s="3">
        <f>-D18</f>
        <v>-25</v>
      </c>
      <c r="D24" s="3">
        <f t="shared" ref="D24:I24" si="1">+$D$19</f>
        <v>5.5</v>
      </c>
      <c r="E24" s="3">
        <f t="shared" si="1"/>
        <v>5.5</v>
      </c>
      <c r="F24" s="3">
        <f t="shared" si="1"/>
        <v>5.5</v>
      </c>
      <c r="G24" s="3">
        <f t="shared" si="1"/>
        <v>5.5</v>
      </c>
      <c r="H24" s="3">
        <f t="shared" si="1"/>
        <v>5.5</v>
      </c>
      <c r="I24" s="3">
        <f t="shared" si="1"/>
        <v>5.5</v>
      </c>
    </row>
    <row r="25" spans="2:13" x14ac:dyDescent="0.25">
      <c r="B25" s="3" t="s">
        <v>16</v>
      </c>
      <c r="C25" s="3">
        <f>+C23-C24</f>
        <v>-20</v>
      </c>
      <c r="D25" s="3">
        <f t="shared" ref="D25:M25" si="2">+D23-D24</f>
        <v>0.5</v>
      </c>
      <c r="E25" s="3">
        <f t="shared" si="2"/>
        <v>0.5</v>
      </c>
      <c r="F25" s="3">
        <f t="shared" si="2"/>
        <v>0.5</v>
      </c>
      <c r="G25" s="3">
        <f t="shared" si="2"/>
        <v>0.5</v>
      </c>
      <c r="H25" s="3">
        <f t="shared" si="2"/>
        <v>0.5</v>
      </c>
      <c r="I25" s="3">
        <f t="shared" si="2"/>
        <v>0.5</v>
      </c>
      <c r="J25" s="3">
        <f t="shared" si="2"/>
        <v>6</v>
      </c>
      <c r="K25" s="3">
        <f t="shared" si="2"/>
        <v>6</v>
      </c>
      <c r="L25" s="3">
        <f t="shared" si="2"/>
        <v>6</v>
      </c>
      <c r="M25" s="3">
        <f t="shared" si="2"/>
        <v>6</v>
      </c>
    </row>
    <row r="27" spans="2:13" x14ac:dyDescent="0.25">
      <c r="C27" s="3" t="s">
        <v>14</v>
      </c>
    </row>
    <row r="28" spans="2:13" x14ac:dyDescent="0.25">
      <c r="B28" s="3" t="s">
        <v>152</v>
      </c>
      <c r="C28" s="7">
        <f>IRR(C23:M23)</f>
        <v>5.6044636451946017E-2</v>
      </c>
    </row>
    <row r="29" spans="2:13" x14ac:dyDescent="0.25">
      <c r="B29" s="3" t="s">
        <v>153</v>
      </c>
      <c r="C29" s="7">
        <f>IRR(C24:M24)</f>
        <v>8.5594700044649974E-2</v>
      </c>
    </row>
    <row r="30" spans="2:13" x14ac:dyDescent="0.25">
      <c r="B30" s="3" t="s">
        <v>16</v>
      </c>
      <c r="C30" s="7">
        <f>IRR(C25:M25)</f>
        <v>3.8884478430843306E-2</v>
      </c>
    </row>
    <row r="34" spans="2:5" x14ac:dyDescent="0.25">
      <c r="B34" s="2"/>
      <c r="C34" s="1" t="s">
        <v>22</v>
      </c>
      <c r="D34" s="1"/>
      <c r="E34" s="1"/>
    </row>
    <row r="35" spans="2:5" x14ac:dyDescent="0.25">
      <c r="B35" s="1" t="s">
        <v>21</v>
      </c>
      <c r="C35" s="2" t="s">
        <v>152</v>
      </c>
      <c r="D35" s="2" t="s">
        <v>153</v>
      </c>
      <c r="E35" s="1" t="s">
        <v>16</v>
      </c>
    </row>
    <row r="36" spans="2:5" x14ac:dyDescent="0.25">
      <c r="B36" s="5">
        <v>0</v>
      </c>
      <c r="C36" s="8">
        <f>NPV(B36,$D$23:$M$23)+$C$23</f>
        <v>15</v>
      </c>
      <c r="D36" s="8">
        <f>NPV(B36,$D$24:$I$24)+$C$24</f>
        <v>8</v>
      </c>
      <c r="E36" s="8">
        <f>NPV(B36,$D$25:$M$25)+$C$25</f>
        <v>7</v>
      </c>
    </row>
    <row r="37" spans="2:5" x14ac:dyDescent="0.25">
      <c r="B37" s="5">
        <v>0.01</v>
      </c>
      <c r="C37" s="8">
        <f t="shared" ref="C37:C46" si="3">NPV(B37,$D$23:$M$23)+$C$23</f>
        <v>11.827827184210022</v>
      </c>
      <c r="D37" s="8">
        <f t="shared" ref="D37:D42" si="4">NPV(B37,$D$24:$I$24)+$C$24</f>
        <v>6.8751206101862969</v>
      </c>
      <c r="E37" s="8">
        <f t="shared" ref="E37:E42" si="5">NPV(B37,$D$25:$M$25)+$C$25</f>
        <v>4.9527065740237255</v>
      </c>
    </row>
    <row r="38" spans="2:5" x14ac:dyDescent="0.25">
      <c r="B38" s="5">
        <v>0.02</v>
      </c>
      <c r="C38" s="8">
        <f t="shared" si="3"/>
        <v>8.8955100374534197</v>
      </c>
      <c r="D38" s="8">
        <f t="shared" si="4"/>
        <v>5.8078698987971897</v>
      </c>
      <c r="E38" s="8">
        <f t="shared" si="5"/>
        <v>3.08764013865623</v>
      </c>
    </row>
    <row r="39" spans="2:5" x14ac:dyDescent="0.25">
      <c r="B39" s="5">
        <v>0.03</v>
      </c>
      <c r="C39" s="8">
        <f t="shared" si="3"/>
        <v>6.1812170206549695</v>
      </c>
      <c r="D39" s="8">
        <f t="shared" si="4"/>
        <v>4.7945529413300321</v>
      </c>
      <c r="E39" s="8">
        <f t="shared" si="5"/>
        <v>1.386664079324941</v>
      </c>
    </row>
    <row r="40" spans="2:5" x14ac:dyDescent="0.25">
      <c r="B40" s="5">
        <v>0.04</v>
      </c>
      <c r="C40" s="8">
        <f t="shared" si="3"/>
        <v>3.6653746761301633</v>
      </c>
      <c r="D40" s="8">
        <f t="shared" si="4"/>
        <v>3.8317527121049331</v>
      </c>
      <c r="E40" s="8">
        <f t="shared" si="5"/>
        <v>-0.16637803597476619</v>
      </c>
    </row>
    <row r="41" spans="2:5" x14ac:dyDescent="0.25">
      <c r="B41" s="5">
        <v>0.05</v>
      </c>
      <c r="C41" s="8">
        <f t="shared" si="3"/>
        <v>1.3304095751088667</v>
      </c>
      <c r="D41" s="8">
        <f t="shared" si="4"/>
        <v>2.9163063699709539</v>
      </c>
      <c r="E41" s="8">
        <f t="shared" si="5"/>
        <v>-1.5858967948620908</v>
      </c>
    </row>
    <row r="42" spans="2:5" x14ac:dyDescent="0.25">
      <c r="B42" s="5">
        <v>0.06</v>
      </c>
      <c r="C42" s="8">
        <f t="shared" si="3"/>
        <v>-0.83947769151182428</v>
      </c>
      <c r="D42" s="8">
        <f t="shared" si="4"/>
        <v>2.0452837930296432</v>
      </c>
      <c r="E42" s="8">
        <f t="shared" si="5"/>
        <v>-2.8847614845414711</v>
      </c>
    </row>
    <row r="43" spans="2:5" x14ac:dyDescent="0.25">
      <c r="B43" s="5">
        <v>7.0000000000000007E-2</v>
      </c>
      <c r="C43" s="8">
        <f t="shared" si="3"/>
        <v>-2.8585107544043922</v>
      </c>
      <c r="D43" s="8">
        <f t="shared" ref="D43:D46" si="6">NPV(B43,$D$24:$I$24)+$C$24</f>
        <v>1.2159681287025812</v>
      </c>
      <c r="E43" s="8">
        <f t="shared" ref="E43:E46" si="7">NPV(B43,$D$25:$M$25)+$C$25</f>
        <v>-4.0744788831069805</v>
      </c>
    </row>
    <row r="44" spans="2:5" x14ac:dyDescent="0.25">
      <c r="B44" s="5">
        <v>0.08</v>
      </c>
      <c r="C44" s="8">
        <f t="shared" si="3"/>
        <v>-4.7395116063513498</v>
      </c>
      <c r="D44" s="8">
        <f t="shared" si="6"/>
        <v>0.4258381517865395</v>
      </c>
      <c r="E44" s="8">
        <f t="shared" si="7"/>
        <v>-5.1653497581378875</v>
      </c>
    </row>
    <row r="45" spans="2:5" x14ac:dyDescent="0.25">
      <c r="B45" s="5">
        <v>0.09</v>
      </c>
      <c r="C45" s="8">
        <f t="shared" si="3"/>
        <v>-6.4940537930459499</v>
      </c>
      <c r="D45" s="8">
        <f t="shared" si="6"/>
        <v>-0.32744775372987434</v>
      </c>
      <c r="E45" s="8">
        <f t="shared" si="7"/>
        <v>-6.1666060393160844</v>
      </c>
    </row>
    <row r="46" spans="2:5" x14ac:dyDescent="0.25">
      <c r="B46" s="5">
        <v>0.1</v>
      </c>
      <c r="C46" s="8">
        <f t="shared" si="3"/>
        <v>-8.1325973657719288</v>
      </c>
      <c r="D46" s="8">
        <f t="shared" si="6"/>
        <v>-1.0460661529577671</v>
      </c>
      <c r="E46" s="8">
        <f t="shared" si="7"/>
        <v>-7.0865312128141547</v>
      </c>
    </row>
    <row r="47" spans="2:5" x14ac:dyDescent="0.25">
      <c r="B47" s="5"/>
      <c r="C47" s="8"/>
      <c r="D47" s="8"/>
      <c r="E47" s="8"/>
    </row>
    <row r="48" spans="2:5" x14ac:dyDescent="0.25">
      <c r="B48" s="5"/>
      <c r="C48" s="8"/>
      <c r="D48" s="8"/>
      <c r="E48" s="8"/>
    </row>
    <row r="49" spans="2:17" x14ac:dyDescent="0.25">
      <c r="B49" s="5" t="s">
        <v>23</v>
      </c>
      <c r="C49" s="8"/>
      <c r="D49" s="8"/>
      <c r="E49" s="8"/>
      <c r="Q49" s="9"/>
    </row>
    <row r="50" spans="2:17" x14ac:dyDescent="0.25">
      <c r="B50" s="5" t="s">
        <v>24</v>
      </c>
      <c r="C50" s="8"/>
      <c r="D50" s="8"/>
      <c r="E50" s="8"/>
      <c r="Q50" s="9"/>
    </row>
    <row r="51" spans="2:17" x14ac:dyDescent="0.25">
      <c r="B51" s="5"/>
      <c r="C51" s="8"/>
      <c r="D51" s="8"/>
      <c r="E51" s="8"/>
      <c r="Q51" s="9"/>
    </row>
    <row r="52" spans="2:17" x14ac:dyDescent="0.25">
      <c r="B52" s="5"/>
      <c r="C52" s="8"/>
      <c r="D52" s="8"/>
      <c r="E52" s="8"/>
    </row>
    <row r="53" spans="2:17" x14ac:dyDescent="0.25">
      <c r="B53" s="5" t="s">
        <v>34</v>
      </c>
      <c r="C53" s="8"/>
      <c r="D53" s="8"/>
      <c r="E53" s="8"/>
      <c r="Q53" s="100"/>
    </row>
    <row r="54" spans="2:17" x14ac:dyDescent="0.25">
      <c r="O54" s="9"/>
      <c r="Q54" s="100"/>
    </row>
    <row r="55" spans="2:17" x14ac:dyDescent="0.25">
      <c r="B55" s="3" t="s">
        <v>32</v>
      </c>
      <c r="C55" s="9">
        <v>20000000</v>
      </c>
      <c r="Q55" s="9"/>
    </row>
    <row r="56" spans="2:17" x14ac:dyDescent="0.25">
      <c r="B56" s="15" t="s">
        <v>33</v>
      </c>
      <c r="C56" s="16">
        <v>0.06</v>
      </c>
      <c r="D56" s="17"/>
      <c r="E56" s="17"/>
      <c r="F56" s="17"/>
      <c r="G56" s="17"/>
      <c r="H56" s="17"/>
    </row>
    <row r="58" spans="2:17" x14ac:dyDescent="0.25">
      <c r="B58" s="11" t="s">
        <v>27</v>
      </c>
      <c r="C58" s="12">
        <v>0</v>
      </c>
      <c r="D58" s="12">
        <v>1</v>
      </c>
      <c r="E58" s="12">
        <v>2</v>
      </c>
      <c r="F58" s="12">
        <v>3</v>
      </c>
      <c r="G58" s="12">
        <v>4</v>
      </c>
      <c r="H58" s="12">
        <v>5</v>
      </c>
      <c r="I58" s="10"/>
    </row>
    <row r="59" spans="2:17" x14ac:dyDescent="0.25">
      <c r="B59" s="11" t="s">
        <v>28</v>
      </c>
      <c r="C59" s="13" t="s">
        <v>29</v>
      </c>
      <c r="D59" s="13" t="s">
        <v>30</v>
      </c>
      <c r="E59" s="13" t="s">
        <v>30</v>
      </c>
      <c r="F59" s="13" t="s">
        <v>30</v>
      </c>
      <c r="G59" s="13" t="s">
        <v>30</v>
      </c>
      <c r="H59" s="13" t="s">
        <v>31</v>
      </c>
      <c r="I59" s="18" t="s">
        <v>33</v>
      </c>
    </row>
    <row r="60" spans="2:17" x14ac:dyDescent="0.25">
      <c r="B60" s="19">
        <v>0.05</v>
      </c>
      <c r="C60" s="14">
        <f>NPV(I60,D60:H60)</f>
        <v>19157527.242886852</v>
      </c>
      <c r="D60" s="14">
        <f>$C$55*$B60</f>
        <v>1000000</v>
      </c>
      <c r="E60" s="14">
        <f>$C$55*$B60</f>
        <v>1000000</v>
      </c>
      <c r="F60" s="14">
        <f>$C$55*$B60</f>
        <v>1000000</v>
      </c>
      <c r="G60" s="14">
        <f>$C$55*$B60</f>
        <v>1000000</v>
      </c>
      <c r="H60" s="14">
        <f>+$C$55+$C$55*B60</f>
        <v>21000000</v>
      </c>
      <c r="I60" s="20">
        <f>+C56</f>
        <v>0.06</v>
      </c>
    </row>
    <row r="62" spans="2:17" x14ac:dyDescent="0.25">
      <c r="B62" s="17" t="s">
        <v>25</v>
      </c>
      <c r="C62" s="17"/>
      <c r="D62" s="17"/>
      <c r="E62" s="17"/>
      <c r="F62" s="17"/>
      <c r="G62" s="17"/>
      <c r="H62" s="17"/>
    </row>
    <row r="63" spans="2:17" x14ac:dyDescent="0.25">
      <c r="B63" s="17" t="s">
        <v>26</v>
      </c>
      <c r="C63" s="17"/>
      <c r="D63" s="17"/>
      <c r="E63" s="17"/>
      <c r="F63" s="17"/>
      <c r="G63" s="17"/>
      <c r="H63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workbookViewId="0">
      <selection activeCell="H20" sqref="H20"/>
    </sheetView>
  </sheetViews>
  <sheetFormatPr baseColWidth="10" defaultRowHeight="15" x14ac:dyDescent="0.25"/>
  <cols>
    <col min="1" max="1" width="15.85546875" customWidth="1"/>
    <col min="4" max="4" width="12.7109375" bestFit="1" customWidth="1"/>
    <col min="5" max="5" width="16.28515625" bestFit="1" customWidth="1"/>
  </cols>
  <sheetData>
    <row r="4" spans="1:6" x14ac:dyDescent="0.25">
      <c r="A4" s="22" t="s">
        <v>46</v>
      </c>
      <c r="B4" s="21"/>
      <c r="C4" s="21"/>
      <c r="D4" s="21"/>
      <c r="E4" s="21"/>
      <c r="F4" s="21"/>
    </row>
    <row r="5" spans="1:6" x14ac:dyDescent="0.25">
      <c r="A5" s="22"/>
      <c r="B5" s="21"/>
      <c r="C5" s="21"/>
      <c r="D5" s="21"/>
      <c r="E5" s="21"/>
      <c r="F5" s="21"/>
    </row>
    <row r="6" spans="1:6" x14ac:dyDescent="0.25">
      <c r="A6" s="2"/>
      <c r="B6" s="2" t="s">
        <v>35</v>
      </c>
      <c r="C6" s="2" t="s">
        <v>36</v>
      </c>
      <c r="D6" s="2" t="s">
        <v>37</v>
      </c>
      <c r="E6" s="2" t="s">
        <v>38</v>
      </c>
      <c r="F6" s="2" t="s">
        <v>39</v>
      </c>
    </row>
    <row r="7" spans="1:6" x14ac:dyDescent="0.25">
      <c r="A7" s="3" t="s">
        <v>45</v>
      </c>
      <c r="B7" s="105">
        <v>157.88999999999999</v>
      </c>
      <c r="C7" s="105">
        <v>249</v>
      </c>
      <c r="D7" s="105">
        <v>325</v>
      </c>
      <c r="E7" s="105">
        <v>115</v>
      </c>
      <c r="F7" s="105">
        <v>2490</v>
      </c>
    </row>
    <row r="8" spans="1:6" x14ac:dyDescent="0.25">
      <c r="A8" s="23" t="s">
        <v>40</v>
      </c>
      <c r="B8" s="24">
        <v>1.05</v>
      </c>
      <c r="C8" s="24">
        <v>0.37</v>
      </c>
      <c r="D8" s="24">
        <v>0.9</v>
      </c>
      <c r="E8" s="24">
        <v>1</v>
      </c>
      <c r="F8" s="24">
        <v>1</v>
      </c>
    </row>
    <row r="9" spans="1:6" x14ac:dyDescent="0.25">
      <c r="A9" s="3" t="s">
        <v>43</v>
      </c>
      <c r="B9" s="101">
        <v>0.11</v>
      </c>
      <c r="C9" s="101">
        <v>0.4</v>
      </c>
      <c r="D9" s="101">
        <v>0.66</v>
      </c>
      <c r="E9" s="101">
        <v>0.31</v>
      </c>
      <c r="F9" s="102" t="s">
        <v>44</v>
      </c>
    </row>
    <row r="10" spans="1:6" x14ac:dyDescent="0.25">
      <c r="A10" s="3" t="s">
        <v>41</v>
      </c>
      <c r="B10" s="3">
        <v>20</v>
      </c>
      <c r="C10" s="3">
        <v>37</v>
      </c>
      <c r="D10" s="3">
        <v>28</v>
      </c>
      <c r="E10" s="3">
        <v>17</v>
      </c>
      <c r="F10" s="25" t="s">
        <v>44</v>
      </c>
    </row>
    <row r="11" spans="1:6" x14ac:dyDescent="0.25">
      <c r="A11" s="3" t="s">
        <v>42</v>
      </c>
      <c r="B11" s="103">
        <v>0</v>
      </c>
      <c r="C11" s="103">
        <v>0</v>
      </c>
      <c r="D11" s="103">
        <v>0.02</v>
      </c>
      <c r="E11" s="103">
        <v>0</v>
      </c>
      <c r="F11" s="104" t="s">
        <v>44</v>
      </c>
    </row>
    <row r="12" spans="1:6" x14ac:dyDescent="0.25">
      <c r="A12" s="22"/>
      <c r="B12" s="21"/>
      <c r="C12" s="21"/>
      <c r="D12" s="21"/>
      <c r="E12" s="21"/>
      <c r="F12" s="21"/>
    </row>
    <row r="13" spans="1:6" x14ac:dyDescent="0.25">
      <c r="A13" s="22"/>
      <c r="B13" s="21"/>
      <c r="C13" s="21"/>
      <c r="D13" s="21"/>
      <c r="E13" s="21"/>
      <c r="F13" s="21"/>
    </row>
    <row r="14" spans="1:6" x14ac:dyDescent="0.25">
      <c r="A14" s="3" t="s">
        <v>47</v>
      </c>
    </row>
    <row r="15" spans="1:6" x14ac:dyDescent="0.25">
      <c r="A15" s="3" t="s">
        <v>51</v>
      </c>
    </row>
    <row r="16" spans="1:6" x14ac:dyDescent="0.25">
      <c r="A16" s="3" t="s">
        <v>49</v>
      </c>
    </row>
    <row r="18" spans="1:1" x14ac:dyDescent="0.25">
      <c r="A18" t="s">
        <v>48</v>
      </c>
    </row>
    <row r="19" spans="1:1" x14ac:dyDescent="0.25">
      <c r="A19" s="3" t="s">
        <v>147</v>
      </c>
    </row>
    <row r="20" spans="1:1" x14ac:dyDescent="0.25">
      <c r="A20" s="3" t="s">
        <v>155</v>
      </c>
    </row>
    <row r="21" spans="1:1" x14ac:dyDescent="0.25">
      <c r="A21" t="s">
        <v>52</v>
      </c>
    </row>
    <row r="22" spans="1:1" x14ac:dyDescent="0.25">
      <c r="A22" t="s">
        <v>145</v>
      </c>
    </row>
    <row r="23" spans="1:1" x14ac:dyDescent="0.25">
      <c r="A23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opLeftCell="A82" workbookViewId="0">
      <selection activeCell="P109" sqref="P109"/>
    </sheetView>
  </sheetViews>
  <sheetFormatPr baseColWidth="10" defaultRowHeight="15" x14ac:dyDescent="0.25"/>
  <cols>
    <col min="1" max="1" width="34.85546875" style="3" bestFit="1" customWidth="1"/>
    <col min="2" max="2" width="16.5703125" style="3" bestFit="1" customWidth="1"/>
    <col min="3" max="3" width="11.42578125" style="3"/>
    <col min="4" max="4" width="11.140625" style="3" bestFit="1" customWidth="1"/>
    <col min="5" max="11" width="11.42578125" style="3"/>
    <col min="12" max="12" width="12.85546875" style="3" bestFit="1" customWidth="1"/>
    <col min="13" max="13" width="16.7109375" style="3" customWidth="1"/>
    <col min="14" max="16384" width="11.42578125" style="3"/>
  </cols>
  <sheetData>
    <row r="1" spans="1:4" x14ac:dyDescent="0.25">
      <c r="A1" s="26" t="s">
        <v>53</v>
      </c>
      <c r="B1" s="23"/>
    </row>
    <row r="2" spans="1:4" x14ac:dyDescent="0.25">
      <c r="A2" s="106" t="s">
        <v>110</v>
      </c>
      <c r="B2" s="114">
        <v>400</v>
      </c>
    </row>
    <row r="3" spans="1:4" x14ac:dyDescent="0.25">
      <c r="A3" s="107" t="s">
        <v>111</v>
      </c>
      <c r="B3" s="114">
        <v>280</v>
      </c>
      <c r="C3" s="7"/>
    </row>
    <row r="4" spans="1:4" x14ac:dyDescent="0.25">
      <c r="A4" s="107" t="s">
        <v>112</v>
      </c>
      <c r="B4" s="115">
        <v>20</v>
      </c>
      <c r="C4" s="85"/>
    </row>
    <row r="5" spans="1:4" x14ac:dyDescent="0.25">
      <c r="A5" s="108"/>
      <c r="B5" s="109"/>
    </row>
    <row r="6" spans="1:4" x14ac:dyDescent="0.25">
      <c r="A6" s="107" t="s">
        <v>107</v>
      </c>
      <c r="B6" s="110">
        <v>2000000</v>
      </c>
    </row>
    <row r="7" spans="1:4" x14ac:dyDescent="0.25">
      <c r="A7" s="107" t="s">
        <v>106</v>
      </c>
      <c r="B7" s="113">
        <v>7500</v>
      </c>
      <c r="C7" s="91"/>
    </row>
    <row r="8" spans="1:4" x14ac:dyDescent="0.25">
      <c r="A8" s="107" t="s">
        <v>123</v>
      </c>
      <c r="B8" s="113">
        <v>6500</v>
      </c>
    </row>
    <row r="9" spans="1:4" x14ac:dyDescent="0.25">
      <c r="A9" s="107" t="s">
        <v>108</v>
      </c>
      <c r="B9" s="111">
        <v>300000</v>
      </c>
    </row>
    <row r="10" spans="1:4" x14ac:dyDescent="0.25">
      <c r="A10" s="107" t="s">
        <v>125</v>
      </c>
      <c r="B10" s="28">
        <v>10</v>
      </c>
    </row>
    <row r="11" spans="1:4" x14ac:dyDescent="0.25">
      <c r="A11" s="27" t="s">
        <v>54</v>
      </c>
      <c r="B11" s="112">
        <v>0.22</v>
      </c>
    </row>
    <row r="12" spans="1:4" x14ac:dyDescent="0.25">
      <c r="A12" s="107" t="s">
        <v>109</v>
      </c>
      <c r="B12" s="110">
        <v>1000000</v>
      </c>
      <c r="D12" s="5"/>
    </row>
    <row r="13" spans="1:4" x14ac:dyDescent="0.25">
      <c r="A13" s="27" t="s">
        <v>55</v>
      </c>
      <c r="B13" s="112">
        <v>2.5000000000000001E-2</v>
      </c>
    </row>
    <row r="14" spans="1:4" x14ac:dyDescent="0.25">
      <c r="A14" s="3" t="s">
        <v>154</v>
      </c>
      <c r="B14" s="28">
        <v>7</v>
      </c>
    </row>
    <row r="15" spans="1:4" x14ac:dyDescent="0.25">
      <c r="A15" s="3" t="s">
        <v>124</v>
      </c>
      <c r="B15" s="3">
        <v>1</v>
      </c>
    </row>
    <row r="16" spans="1:4" x14ac:dyDescent="0.25">
      <c r="A16" s="3" t="s">
        <v>56</v>
      </c>
      <c r="B16" s="112">
        <v>0.2</v>
      </c>
    </row>
    <row r="17" spans="1:8" x14ac:dyDescent="0.25">
      <c r="A17" s="23"/>
      <c r="B17" s="80"/>
    </row>
    <row r="18" spans="1:8" x14ac:dyDescent="0.25">
      <c r="A18" s="80"/>
      <c r="B18" s="80"/>
    </row>
    <row r="19" spans="1:8" ht="30" x14ac:dyDescent="0.25">
      <c r="A19" s="31" t="s">
        <v>57</v>
      </c>
      <c r="B19" s="78" t="s">
        <v>113</v>
      </c>
    </row>
    <row r="20" spans="1:8" x14ac:dyDescent="0.25">
      <c r="A20" s="23" t="s">
        <v>58</v>
      </c>
      <c r="B20" s="23">
        <v>2</v>
      </c>
    </row>
    <row r="21" spans="1:8" x14ac:dyDescent="0.25">
      <c r="A21" s="23" t="s">
        <v>59</v>
      </c>
      <c r="B21" s="23">
        <v>0.5</v>
      </c>
    </row>
    <row r="22" spans="1:8" x14ac:dyDescent="0.25">
      <c r="A22" s="23" t="s">
        <v>60</v>
      </c>
      <c r="B22" s="23">
        <v>1</v>
      </c>
    </row>
    <row r="24" spans="1:8" x14ac:dyDescent="0.25">
      <c r="A24" s="23" t="s">
        <v>114</v>
      </c>
      <c r="B24" s="23">
        <v>50</v>
      </c>
    </row>
    <row r="26" spans="1:8" x14ac:dyDescent="0.25">
      <c r="A26" s="23" t="s">
        <v>105</v>
      </c>
      <c r="B26" s="112">
        <v>0.01</v>
      </c>
    </row>
    <row r="27" spans="1:8" x14ac:dyDescent="0.25">
      <c r="A27" s="23" t="s">
        <v>126</v>
      </c>
      <c r="B27" s="112">
        <v>0.02</v>
      </c>
    </row>
    <row r="28" spans="1:8" x14ac:dyDescent="0.25">
      <c r="A28" s="23"/>
      <c r="B28" s="7"/>
    </row>
    <row r="29" spans="1:8" x14ac:dyDescent="0.25">
      <c r="A29" s="32" t="s">
        <v>61</v>
      </c>
      <c r="G29" s="32"/>
      <c r="H29" s="32"/>
    </row>
    <row r="30" spans="1:8" ht="15.75" thickBot="1" x14ac:dyDescent="0.3">
      <c r="A30" s="32"/>
      <c r="F30" s="32"/>
      <c r="G30" s="32"/>
      <c r="H30" s="32"/>
    </row>
    <row r="31" spans="1:8" ht="15.75" thickBot="1" x14ac:dyDescent="0.3">
      <c r="A31" s="33" t="s">
        <v>62</v>
      </c>
      <c r="B31" s="34">
        <f>+B7</f>
        <v>7500</v>
      </c>
      <c r="C31" s="33"/>
      <c r="D31" s="32"/>
      <c r="E31" s="32"/>
      <c r="F31" s="32"/>
      <c r="G31" s="32"/>
      <c r="H31" s="32"/>
    </row>
    <row r="32" spans="1:8" x14ac:dyDescent="0.25">
      <c r="A32" s="33"/>
      <c r="B32" s="79"/>
      <c r="C32" s="33"/>
      <c r="D32" s="32"/>
      <c r="E32" s="32"/>
      <c r="F32" s="32"/>
      <c r="G32" s="32"/>
      <c r="H32" s="32"/>
    </row>
    <row r="33" spans="1:16" x14ac:dyDescent="0.25">
      <c r="A33" s="33"/>
      <c r="B33" s="35" t="s">
        <v>63</v>
      </c>
      <c r="C33" s="35" t="s">
        <v>64</v>
      </c>
      <c r="D33" s="35" t="s">
        <v>65</v>
      </c>
      <c r="E33" s="35" t="s">
        <v>66</v>
      </c>
      <c r="F33" s="35" t="s">
        <v>67</v>
      </c>
      <c r="G33" s="35" t="s">
        <v>68</v>
      </c>
      <c r="H33" s="32"/>
    </row>
    <row r="34" spans="1:16" ht="15.75" thickBot="1" x14ac:dyDescent="0.3">
      <c r="A34" s="32"/>
      <c r="B34" s="36" t="s">
        <v>69</v>
      </c>
      <c r="C34" s="35" t="s">
        <v>69</v>
      </c>
      <c r="D34" s="36" t="s">
        <v>70</v>
      </c>
      <c r="E34" s="35" t="s">
        <v>69</v>
      </c>
      <c r="F34" s="36" t="s">
        <v>71</v>
      </c>
      <c r="G34" s="35"/>
      <c r="H34" s="32"/>
    </row>
    <row r="35" spans="1:16" x14ac:dyDescent="0.25">
      <c r="A35" s="32" t="s">
        <v>58</v>
      </c>
      <c r="B35" s="37">
        <f>+$B$31</f>
        <v>7500</v>
      </c>
      <c r="C35" s="32">
        <f>+B35/$B$39</f>
        <v>150</v>
      </c>
      <c r="D35" s="38">
        <f>+B20*4</f>
        <v>8</v>
      </c>
      <c r="E35" s="32">
        <f>C35*D35</f>
        <v>1200</v>
      </c>
      <c r="F35" s="39">
        <f>+B3</f>
        <v>280</v>
      </c>
      <c r="G35" s="40">
        <f>E35*F35</f>
        <v>336000</v>
      </c>
      <c r="H35" s="71" t="s">
        <v>68</v>
      </c>
    </row>
    <row r="36" spans="1:16" x14ac:dyDescent="0.25">
      <c r="A36" s="32" t="s">
        <v>59</v>
      </c>
      <c r="B36" s="37">
        <f t="shared" ref="B36:B37" si="0">+$B$31</f>
        <v>7500</v>
      </c>
      <c r="C36" s="32">
        <f t="shared" ref="C36:C37" si="1">+B36/$B$39</f>
        <v>150</v>
      </c>
      <c r="D36" s="41">
        <f>+B21*4</f>
        <v>2</v>
      </c>
      <c r="E36" s="32">
        <f>C36*D36</f>
        <v>300</v>
      </c>
      <c r="F36" s="39">
        <f>+B2</f>
        <v>400</v>
      </c>
      <c r="G36" s="40">
        <f t="shared" ref="G36:G37" si="2">E36*F36</f>
        <v>120000</v>
      </c>
    </row>
    <row r="37" spans="1:16" ht="15.75" thickBot="1" x14ac:dyDescent="0.3">
      <c r="A37" s="42" t="s">
        <v>72</v>
      </c>
      <c r="B37" s="37">
        <f t="shared" si="0"/>
        <v>7500</v>
      </c>
      <c r="C37" s="32">
        <f t="shared" si="1"/>
        <v>150</v>
      </c>
      <c r="D37" s="43">
        <f>+B22*4</f>
        <v>4</v>
      </c>
      <c r="E37" s="32">
        <f>C37*D37</f>
        <v>600</v>
      </c>
      <c r="F37" s="39">
        <f>+B3</f>
        <v>280</v>
      </c>
      <c r="G37" s="40">
        <f t="shared" si="2"/>
        <v>168000</v>
      </c>
    </row>
    <row r="38" spans="1:16" ht="15.75" thickBot="1" x14ac:dyDescent="0.3">
      <c r="A38" s="44" t="s">
        <v>73</v>
      </c>
      <c r="B38" s="45"/>
      <c r="C38" s="46"/>
      <c r="D38" s="47"/>
      <c r="E38" s="46"/>
      <c r="F38" s="46"/>
      <c r="G38" s="48">
        <f>G35+G36-G37</f>
        <v>288000</v>
      </c>
    </row>
    <row r="39" spans="1:16" ht="16.5" thickTop="1" thickBot="1" x14ac:dyDescent="0.3">
      <c r="A39" s="32" t="s">
        <v>74</v>
      </c>
      <c r="B39" s="49">
        <f>+B24</f>
        <v>50</v>
      </c>
      <c r="C39" s="32"/>
      <c r="D39" s="32"/>
      <c r="E39" s="32"/>
      <c r="F39" s="32"/>
      <c r="G39" s="50"/>
    </row>
    <row r="40" spans="1:16" x14ac:dyDescent="0.25">
      <c r="A40" s="32" t="s">
        <v>75</v>
      </c>
      <c r="B40" s="39">
        <f>+B31</f>
        <v>7500</v>
      </c>
      <c r="C40" s="32"/>
      <c r="D40" s="32"/>
      <c r="E40" s="32"/>
      <c r="F40" s="39">
        <f>+B2</f>
        <v>400</v>
      </c>
      <c r="G40" s="40">
        <f>B40*F40</f>
        <v>3000000</v>
      </c>
    </row>
    <row r="41" spans="1:16" x14ac:dyDescent="0.25">
      <c r="A41" s="32" t="s">
        <v>76</v>
      </c>
      <c r="B41" s="32"/>
      <c r="C41" s="32"/>
      <c r="D41" s="32"/>
      <c r="E41" s="32"/>
      <c r="F41" s="32"/>
      <c r="G41" s="51">
        <f>G38/G40</f>
        <v>9.6000000000000002E-2</v>
      </c>
    </row>
    <row r="43" spans="1:16" x14ac:dyDescent="0.25">
      <c r="A43" s="32" t="s">
        <v>127</v>
      </c>
    </row>
    <row r="44" spans="1:16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ht="15.75" x14ac:dyDescent="0.25">
      <c r="A45" s="52" t="s">
        <v>48</v>
      </c>
      <c r="B45" s="5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x14ac:dyDescent="0.25">
      <c r="A46" s="52"/>
      <c r="B46" s="30"/>
      <c r="C46" s="5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6" x14ac:dyDescent="0.25">
      <c r="A48" s="57" t="s">
        <v>119</v>
      </c>
      <c r="B48" s="84">
        <v>0</v>
      </c>
      <c r="C48" s="84">
        <v>1</v>
      </c>
      <c r="D48" s="84">
        <v>2</v>
      </c>
      <c r="E48" s="84">
        <v>3</v>
      </c>
      <c r="F48" s="84">
        <v>4</v>
      </c>
      <c r="G48" s="84">
        <v>5</v>
      </c>
      <c r="H48" s="84">
        <v>6</v>
      </c>
      <c r="I48" s="84">
        <v>7</v>
      </c>
      <c r="J48" s="52"/>
      <c r="K48" s="52"/>
      <c r="L48" s="52"/>
      <c r="M48" s="52"/>
      <c r="N48" s="52"/>
      <c r="O48" s="52"/>
    </row>
    <row r="49" spans="1:15" x14ac:dyDescent="0.25">
      <c r="A49" s="82" t="s">
        <v>77</v>
      </c>
      <c r="B49" s="83"/>
      <c r="C49" s="83">
        <f>+B53</f>
        <v>1000000</v>
      </c>
      <c r="D49" s="83">
        <f>+C49-C52</f>
        <v>1000000</v>
      </c>
      <c r="E49" s="83">
        <f t="shared" ref="E49:I49" si="3">+D49-D52</f>
        <v>833333.33333333337</v>
      </c>
      <c r="F49" s="83">
        <f t="shared" si="3"/>
        <v>666666.66666666674</v>
      </c>
      <c r="G49" s="83">
        <f t="shared" si="3"/>
        <v>500000.00000000012</v>
      </c>
      <c r="H49" s="83">
        <f t="shared" si="3"/>
        <v>333333.33333333349</v>
      </c>
      <c r="I49" s="83">
        <f t="shared" si="3"/>
        <v>166666.66666666683</v>
      </c>
      <c r="J49" s="52"/>
      <c r="K49" s="52"/>
      <c r="L49" s="56"/>
      <c r="M49" s="52"/>
      <c r="N49" s="52"/>
      <c r="O49" s="52"/>
    </row>
    <row r="50" spans="1:15" x14ac:dyDescent="0.25">
      <c r="A50" s="82" t="s">
        <v>78</v>
      </c>
      <c r="B50" s="83"/>
      <c r="C50" s="83">
        <f>+C52+C51</f>
        <v>25000</v>
      </c>
      <c r="D50" s="83">
        <f t="shared" ref="D50:E50" si="4">+D52+D51</f>
        <v>191666.66666666666</v>
      </c>
      <c r="E50" s="83">
        <f t="shared" si="4"/>
        <v>187500</v>
      </c>
      <c r="F50" s="83">
        <f t="shared" ref="F50" si="5">+F52+F51</f>
        <v>183333.33333333331</v>
      </c>
      <c r="G50" s="83">
        <f t="shared" ref="G50" si="6">+G52+G51</f>
        <v>179166.66666666666</v>
      </c>
      <c r="H50" s="83">
        <f t="shared" ref="H50" si="7">+H52+H51</f>
        <v>175000</v>
      </c>
      <c r="I50" s="83">
        <f t="shared" ref="I50" si="8">+I52+I51</f>
        <v>170833.33333333331</v>
      </c>
      <c r="J50" s="52"/>
      <c r="K50" s="52"/>
      <c r="L50" s="52"/>
      <c r="M50" s="52"/>
      <c r="N50" s="52"/>
      <c r="O50" s="52"/>
    </row>
    <row r="51" spans="1:15" x14ac:dyDescent="0.25">
      <c r="A51" s="82" t="s">
        <v>79</v>
      </c>
      <c r="B51" s="83"/>
      <c r="C51" s="83">
        <f>+C49*$B$13</f>
        <v>25000</v>
      </c>
      <c r="D51" s="83">
        <f>+D49*$B$13</f>
        <v>25000</v>
      </c>
      <c r="E51" s="83">
        <f>+E49*$B$13</f>
        <v>20833.333333333336</v>
      </c>
      <c r="F51" s="83">
        <f t="shared" ref="F51:I51" si="9">+F49*$B$13</f>
        <v>16666.666666666668</v>
      </c>
      <c r="G51" s="83">
        <f t="shared" si="9"/>
        <v>12500.000000000004</v>
      </c>
      <c r="H51" s="83">
        <f t="shared" si="9"/>
        <v>8333.3333333333376</v>
      </c>
      <c r="I51" s="83">
        <f t="shared" si="9"/>
        <v>4166.6666666666706</v>
      </c>
      <c r="J51" s="52"/>
      <c r="K51" s="52"/>
      <c r="L51" s="52"/>
      <c r="M51" s="52"/>
      <c r="N51" s="52"/>
      <c r="O51" s="52"/>
    </row>
    <row r="52" spans="1:15" x14ac:dyDescent="0.25">
      <c r="A52" s="82" t="s">
        <v>80</v>
      </c>
      <c r="B52" s="83"/>
      <c r="C52" s="83"/>
      <c r="D52" s="83">
        <f>+$B$12/($B$14-$B$15)</f>
        <v>166666.66666666666</v>
      </c>
      <c r="E52" s="83">
        <f t="shared" ref="E52:I52" si="10">+$B$12/($B$14-$B$15)</f>
        <v>166666.66666666666</v>
      </c>
      <c r="F52" s="83">
        <f t="shared" si="10"/>
        <v>166666.66666666666</v>
      </c>
      <c r="G52" s="83">
        <f t="shared" si="10"/>
        <v>166666.66666666666</v>
      </c>
      <c r="H52" s="83">
        <f t="shared" si="10"/>
        <v>166666.66666666666</v>
      </c>
      <c r="I52" s="83">
        <f t="shared" si="10"/>
        <v>166666.66666666666</v>
      </c>
      <c r="J52" s="52"/>
      <c r="K52" s="52"/>
      <c r="L52" s="52"/>
      <c r="M52" s="52"/>
      <c r="N52" s="52"/>
      <c r="O52" s="52"/>
    </row>
    <row r="53" spans="1:15" x14ac:dyDescent="0.25">
      <c r="A53" s="82" t="s">
        <v>81</v>
      </c>
      <c r="B53" s="83">
        <f>+B12</f>
        <v>1000000</v>
      </c>
      <c r="C53" s="83">
        <f>C49-C52</f>
        <v>1000000</v>
      </c>
      <c r="D53" s="83">
        <f t="shared" ref="D53:E53" si="11">D49-D52</f>
        <v>833333.33333333337</v>
      </c>
      <c r="E53" s="83">
        <f t="shared" si="11"/>
        <v>666666.66666666674</v>
      </c>
      <c r="F53" s="83">
        <f t="shared" ref="F53" si="12">F49-F52</f>
        <v>500000.00000000012</v>
      </c>
      <c r="G53" s="83">
        <f t="shared" ref="G53" si="13">G49-G52</f>
        <v>333333.33333333349</v>
      </c>
      <c r="H53" s="83">
        <f t="shared" ref="H53" si="14">H49-H52</f>
        <v>166666.66666666683</v>
      </c>
      <c r="I53" s="83">
        <f t="shared" ref="I53" si="15">I49-I52</f>
        <v>0</v>
      </c>
      <c r="J53" s="52"/>
      <c r="K53" s="52"/>
      <c r="L53" s="52"/>
      <c r="M53" s="52"/>
      <c r="N53" s="52"/>
      <c r="O53" s="52"/>
    </row>
    <row r="54" spans="1:15" x14ac:dyDescent="0.25">
      <c r="A54" s="55" t="s">
        <v>115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x14ac:dyDescent="0.25">
      <c r="A55" s="72"/>
      <c r="B55" s="73" t="s">
        <v>3</v>
      </c>
      <c r="C55" s="73" t="s">
        <v>4</v>
      </c>
      <c r="D55" s="74" t="s">
        <v>5</v>
      </c>
      <c r="E55" s="74" t="s">
        <v>6</v>
      </c>
      <c r="F55" s="74" t="s">
        <v>7</v>
      </c>
      <c r="G55" s="74" t="s">
        <v>8</v>
      </c>
      <c r="H55" s="52"/>
      <c r="I55" s="52"/>
      <c r="J55" s="52"/>
      <c r="K55" s="74"/>
      <c r="L55" s="74"/>
      <c r="M55" s="52"/>
      <c r="N55" s="52"/>
      <c r="O55" s="52"/>
    </row>
    <row r="56" spans="1:15" x14ac:dyDescent="0.25">
      <c r="A56" s="57" t="s">
        <v>120</v>
      </c>
      <c r="B56" s="84">
        <v>0</v>
      </c>
      <c r="C56" s="84">
        <v>1</v>
      </c>
      <c r="D56" s="84">
        <v>2</v>
      </c>
      <c r="E56" s="84">
        <v>3</v>
      </c>
      <c r="F56" s="84">
        <v>4</v>
      </c>
      <c r="G56" s="84">
        <v>5</v>
      </c>
      <c r="H56" s="84">
        <v>5</v>
      </c>
      <c r="I56" s="84">
        <v>5</v>
      </c>
      <c r="J56" s="84">
        <v>5</v>
      </c>
      <c r="K56" s="84">
        <v>5</v>
      </c>
      <c r="L56" s="84">
        <v>5</v>
      </c>
      <c r="M56" s="52"/>
      <c r="N56" s="52"/>
      <c r="O56" s="52"/>
    </row>
    <row r="57" spans="1:15" x14ac:dyDescent="0.25">
      <c r="A57" s="52" t="s">
        <v>82</v>
      </c>
      <c r="B57" s="52"/>
      <c r="C57" s="52">
        <f>+B7</f>
        <v>7500</v>
      </c>
      <c r="D57" s="52">
        <f t="shared" ref="D57:L57" si="16">+$B$8</f>
        <v>6500</v>
      </c>
      <c r="E57" s="52">
        <f t="shared" si="16"/>
        <v>6500</v>
      </c>
      <c r="F57" s="52">
        <f t="shared" si="16"/>
        <v>6500</v>
      </c>
      <c r="G57" s="52">
        <f t="shared" si="16"/>
        <v>6500</v>
      </c>
      <c r="H57" s="52">
        <f t="shared" si="16"/>
        <v>6500</v>
      </c>
      <c r="I57" s="52">
        <f t="shared" si="16"/>
        <v>6500</v>
      </c>
      <c r="J57" s="52">
        <f t="shared" si="16"/>
        <v>6500</v>
      </c>
      <c r="K57" s="52">
        <f t="shared" si="16"/>
        <v>6500</v>
      </c>
      <c r="L57" s="52">
        <f t="shared" si="16"/>
        <v>6500</v>
      </c>
      <c r="M57" s="52"/>
      <c r="N57" s="52"/>
      <c r="O57" s="52"/>
    </row>
    <row r="58" spans="1:15" x14ac:dyDescent="0.25">
      <c r="A58" s="29" t="s">
        <v>83</v>
      </c>
      <c r="B58" s="52">
        <f>-B6</f>
        <v>-2000000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x14ac:dyDescent="0.25">
      <c r="A59" s="29" t="s">
        <v>84</v>
      </c>
      <c r="B59" s="52"/>
      <c r="C59" s="52">
        <f>+$B$9</f>
        <v>300000</v>
      </c>
      <c r="D59" s="52">
        <f t="shared" ref="D59:L59" si="17">+$B$9</f>
        <v>300000</v>
      </c>
      <c r="E59" s="52">
        <f t="shared" si="17"/>
        <v>300000</v>
      </c>
      <c r="F59" s="52">
        <f t="shared" si="17"/>
        <v>300000</v>
      </c>
      <c r="G59" s="52">
        <f t="shared" si="17"/>
        <v>300000</v>
      </c>
      <c r="H59" s="52">
        <f t="shared" si="17"/>
        <v>300000</v>
      </c>
      <c r="I59" s="52">
        <f t="shared" si="17"/>
        <v>300000</v>
      </c>
      <c r="J59" s="52">
        <f t="shared" si="17"/>
        <v>300000</v>
      </c>
      <c r="K59" s="52">
        <f t="shared" si="17"/>
        <v>300000</v>
      </c>
      <c r="L59" s="52">
        <f t="shared" si="17"/>
        <v>300000</v>
      </c>
      <c r="M59" s="52"/>
      <c r="N59" s="52"/>
      <c r="O59" s="52"/>
    </row>
    <row r="60" spans="1:15" x14ac:dyDescent="0.25">
      <c r="A60" s="29" t="s">
        <v>85</v>
      </c>
      <c r="B60" s="56">
        <f>+$G$41</f>
        <v>9.6000000000000002E-2</v>
      </c>
      <c r="C60" s="56">
        <f t="shared" ref="C60:L60" si="18">+$G$41</f>
        <v>9.6000000000000002E-2</v>
      </c>
      <c r="D60" s="56">
        <f t="shared" si="18"/>
        <v>9.6000000000000002E-2</v>
      </c>
      <c r="E60" s="56">
        <f t="shared" si="18"/>
        <v>9.6000000000000002E-2</v>
      </c>
      <c r="F60" s="56">
        <f t="shared" si="18"/>
        <v>9.6000000000000002E-2</v>
      </c>
      <c r="G60" s="56">
        <f t="shared" si="18"/>
        <v>9.6000000000000002E-2</v>
      </c>
      <c r="H60" s="56">
        <f t="shared" si="18"/>
        <v>9.6000000000000002E-2</v>
      </c>
      <c r="I60" s="56">
        <f t="shared" si="18"/>
        <v>9.6000000000000002E-2</v>
      </c>
      <c r="J60" s="56">
        <f t="shared" si="18"/>
        <v>9.6000000000000002E-2</v>
      </c>
      <c r="K60" s="56">
        <f t="shared" si="18"/>
        <v>9.6000000000000002E-2</v>
      </c>
      <c r="L60" s="56">
        <f t="shared" si="18"/>
        <v>9.6000000000000002E-2</v>
      </c>
      <c r="M60" s="52"/>
      <c r="N60" s="52"/>
      <c r="O60" s="52"/>
    </row>
    <row r="61" spans="1:15" x14ac:dyDescent="0.25">
      <c r="A61" s="55" t="s">
        <v>86</v>
      </c>
      <c r="B61" s="52"/>
      <c r="C61" s="56">
        <f>+$B$26</f>
        <v>0.01</v>
      </c>
      <c r="D61" s="56">
        <f t="shared" ref="D61:E61" si="19">+$B$26</f>
        <v>0.01</v>
      </c>
      <c r="E61" s="56">
        <f t="shared" si="19"/>
        <v>0.01</v>
      </c>
      <c r="F61" s="56">
        <f>+$B$27</f>
        <v>0.02</v>
      </c>
      <c r="G61" s="56">
        <f t="shared" ref="G61:L61" si="20">+$B$27</f>
        <v>0.02</v>
      </c>
      <c r="H61" s="56">
        <f t="shared" si="20"/>
        <v>0.02</v>
      </c>
      <c r="I61" s="56">
        <f t="shared" si="20"/>
        <v>0.02</v>
      </c>
      <c r="J61" s="56">
        <f t="shared" si="20"/>
        <v>0.02</v>
      </c>
      <c r="K61" s="56">
        <f t="shared" si="20"/>
        <v>0.02</v>
      </c>
      <c r="L61" s="56">
        <f t="shared" si="20"/>
        <v>0.02</v>
      </c>
      <c r="M61" s="52"/>
      <c r="N61" s="52"/>
      <c r="O61" s="52"/>
    </row>
    <row r="62" spans="1:15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x14ac:dyDescent="0.25">
      <c r="A63" s="57" t="s">
        <v>121</v>
      </c>
      <c r="B63" s="84">
        <v>0</v>
      </c>
      <c r="C63" s="84">
        <v>1</v>
      </c>
      <c r="D63" s="84">
        <v>2</v>
      </c>
      <c r="E63" s="84">
        <v>3</v>
      </c>
      <c r="F63" s="84">
        <v>4</v>
      </c>
      <c r="G63" s="84">
        <v>5</v>
      </c>
      <c r="H63" s="84">
        <v>5</v>
      </c>
      <c r="I63" s="84">
        <v>5</v>
      </c>
      <c r="J63" s="84">
        <v>5</v>
      </c>
      <c r="K63" s="84">
        <v>5</v>
      </c>
      <c r="L63" s="84">
        <v>5</v>
      </c>
      <c r="M63" s="52"/>
      <c r="N63" s="52"/>
      <c r="O63" s="52"/>
    </row>
    <row r="64" spans="1:15" x14ac:dyDescent="0.25">
      <c r="A64" s="75"/>
      <c r="B64" s="76" t="s">
        <v>3</v>
      </c>
      <c r="C64" s="76" t="s">
        <v>4</v>
      </c>
      <c r="D64" s="77" t="s">
        <v>5</v>
      </c>
      <c r="E64" s="77" t="s">
        <v>6</v>
      </c>
      <c r="F64" s="76" t="s">
        <v>7</v>
      </c>
      <c r="G64" s="77" t="s">
        <v>8</v>
      </c>
      <c r="H64" s="77" t="s">
        <v>8</v>
      </c>
      <c r="I64" s="77" t="s">
        <v>8</v>
      </c>
      <c r="J64" s="77" t="s">
        <v>8</v>
      </c>
      <c r="K64" s="77" t="s">
        <v>8</v>
      </c>
      <c r="L64" s="77" t="s">
        <v>8</v>
      </c>
      <c r="M64" s="52"/>
      <c r="N64" s="52"/>
      <c r="O64" s="52"/>
    </row>
    <row r="65" spans="1:16" x14ac:dyDescent="0.25">
      <c r="A65" s="55" t="s">
        <v>87</v>
      </c>
      <c r="B65" s="58"/>
      <c r="C65" s="59">
        <f>(1+C61)</f>
        <v>1.01</v>
      </c>
      <c r="D65" s="60">
        <f>C65*(1+D61)</f>
        <v>1.0201</v>
      </c>
      <c r="E65" s="60">
        <f t="shared" ref="E65:G65" si="21">D65*(1+E61)</f>
        <v>1.0303009999999999</v>
      </c>
      <c r="F65" s="60">
        <f t="shared" si="21"/>
        <v>1.0509070199999999</v>
      </c>
      <c r="G65" s="60">
        <f t="shared" si="21"/>
        <v>1.0719251604</v>
      </c>
      <c r="H65" s="60">
        <f t="shared" ref="H65" si="22">G65*(1+H61)</f>
        <v>1.093363663608</v>
      </c>
      <c r="I65" s="60">
        <f t="shared" ref="I65" si="23">H65*(1+I61)</f>
        <v>1.1152309368801601</v>
      </c>
      <c r="J65" s="60">
        <f t="shared" ref="J65" si="24">I65*(1+J61)</f>
        <v>1.1375355556177633</v>
      </c>
      <c r="K65" s="60">
        <f t="shared" ref="K65" si="25">J65*(1+K61)</f>
        <v>1.1602862667301186</v>
      </c>
      <c r="L65" s="60">
        <f t="shared" ref="L65" si="26">K65*(1+L61)</f>
        <v>1.1834919920647209</v>
      </c>
      <c r="M65" s="52"/>
      <c r="N65" s="52"/>
      <c r="O65" s="52"/>
    </row>
    <row r="66" spans="1:16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16" x14ac:dyDescent="0.25">
      <c r="A67" s="29" t="s">
        <v>88</v>
      </c>
      <c r="B67" s="61">
        <f>-B6</f>
        <v>-2000000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16" x14ac:dyDescent="0.25">
      <c r="A68" s="29" t="s">
        <v>116</v>
      </c>
      <c r="B68" s="52">
        <f>-C71*B60</f>
        <v>-290880</v>
      </c>
      <c r="C68" s="52">
        <f t="shared" ref="C68:G68" si="27">-D71*C60</f>
        <v>-254616.95999999999</v>
      </c>
      <c r="D68" s="52">
        <f t="shared" si="27"/>
        <v>-257163.12959999996</v>
      </c>
      <c r="E68" s="52">
        <f t="shared" si="27"/>
        <v>-262306.39219199994</v>
      </c>
      <c r="F68" s="52">
        <f t="shared" si="27"/>
        <v>-267552.52003583999</v>
      </c>
      <c r="G68" s="52">
        <f t="shared" si="27"/>
        <v>-272903.57043655682</v>
      </c>
      <c r="H68" s="52">
        <f t="shared" ref="H68:L68" si="28">-I71*H60</f>
        <v>-278361.64184528793</v>
      </c>
      <c r="I68" s="52">
        <f t="shared" si="28"/>
        <v>-283928.87468219374</v>
      </c>
      <c r="J68" s="52">
        <f t="shared" si="28"/>
        <v>-289607.45217583759</v>
      </c>
      <c r="K68" s="52">
        <f t="shared" si="28"/>
        <v>-295399.60121935431</v>
      </c>
      <c r="L68" s="52">
        <f t="shared" si="28"/>
        <v>0</v>
      </c>
      <c r="M68" s="52"/>
      <c r="N68" s="52"/>
      <c r="O68" s="52"/>
    </row>
    <row r="69" spans="1:16" x14ac:dyDescent="0.25">
      <c r="A69" s="29" t="s">
        <v>117</v>
      </c>
      <c r="B69" s="52">
        <f>-C71*B60</f>
        <v>-290880</v>
      </c>
      <c r="C69" s="52">
        <f>+C68-B68</f>
        <v>36263.040000000008</v>
      </c>
      <c r="D69" s="52">
        <f t="shared" ref="D69:G69" si="29">+D68-C68</f>
        <v>-2546.1695999999647</v>
      </c>
      <c r="E69" s="52">
        <f t="shared" si="29"/>
        <v>-5143.2625919999846</v>
      </c>
      <c r="F69" s="52">
        <f t="shared" si="29"/>
        <v>-5246.1278438400477</v>
      </c>
      <c r="G69" s="52">
        <f t="shared" si="29"/>
        <v>-5351.0504007168347</v>
      </c>
      <c r="H69" s="52">
        <f t="shared" ref="H69" si="30">+H68-G68</f>
        <v>-5458.0714087311062</v>
      </c>
      <c r="I69" s="52">
        <f t="shared" ref="I69" si="31">+I68-H68</f>
        <v>-5567.2328369058087</v>
      </c>
      <c r="J69" s="52">
        <f t="shared" ref="J69" si="32">+J68-I68</f>
        <v>-5678.5774936438538</v>
      </c>
      <c r="K69" s="52">
        <f t="shared" ref="K69" si="33">+K68-J68</f>
        <v>-5792.1490435167216</v>
      </c>
      <c r="L69" s="52">
        <f t="shared" ref="L69" si="34">+L68-K68</f>
        <v>295399.60121935431</v>
      </c>
      <c r="M69" s="52"/>
      <c r="N69" s="52"/>
      <c r="O69" s="52"/>
    </row>
    <row r="70" spans="1:16" x14ac:dyDescent="0.25">
      <c r="A70" s="29"/>
      <c r="B70" s="6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16" x14ac:dyDescent="0.25">
      <c r="A71" s="55" t="s">
        <v>89</v>
      </c>
      <c r="B71" s="52"/>
      <c r="C71" s="52">
        <f>+C57*C65*$B$2</f>
        <v>3030000</v>
      </c>
      <c r="D71" s="52">
        <f t="shared" ref="D71:G71" si="35">+D57*D65*$B$2</f>
        <v>2652260</v>
      </c>
      <c r="E71" s="52">
        <f t="shared" si="35"/>
        <v>2678782.5999999996</v>
      </c>
      <c r="F71" s="52">
        <f t="shared" si="35"/>
        <v>2732358.2519999994</v>
      </c>
      <c r="G71" s="52">
        <f t="shared" si="35"/>
        <v>2787005.4170399997</v>
      </c>
      <c r="H71" s="52">
        <f t="shared" ref="H71:L71" si="36">+H57*H65*$B$2</f>
        <v>2842745.5253808</v>
      </c>
      <c r="I71" s="52">
        <f t="shared" si="36"/>
        <v>2899600.4358884161</v>
      </c>
      <c r="J71" s="52">
        <f t="shared" si="36"/>
        <v>2957592.4446061845</v>
      </c>
      <c r="K71" s="52">
        <f t="shared" si="36"/>
        <v>3016744.2934983084</v>
      </c>
      <c r="L71" s="52">
        <f t="shared" si="36"/>
        <v>3077079.1793682743</v>
      </c>
      <c r="M71" s="52"/>
      <c r="N71" s="52"/>
      <c r="O71" s="52"/>
    </row>
    <row r="72" spans="1:16" x14ac:dyDescent="0.25">
      <c r="A72" s="62" t="s">
        <v>90</v>
      </c>
      <c r="B72" s="63"/>
      <c r="C72" s="63">
        <f>-C57*($B$4+$B$3)*C65</f>
        <v>-2272500</v>
      </c>
      <c r="D72" s="63">
        <f t="shared" ref="D72:G72" si="37">-D57*($B$4+$B$3)*D65</f>
        <v>-1989195</v>
      </c>
      <c r="E72" s="63">
        <f t="shared" si="37"/>
        <v>-2009086.9499999997</v>
      </c>
      <c r="F72" s="63">
        <f t="shared" si="37"/>
        <v>-2049268.6889999998</v>
      </c>
      <c r="G72" s="63">
        <f t="shared" si="37"/>
        <v>-2090254.06278</v>
      </c>
      <c r="H72" s="63">
        <f t="shared" ref="H72:L72" si="38">-H57*($B$4+$B$3)*H65</f>
        <v>-2132059.1440356001</v>
      </c>
      <c r="I72" s="63">
        <f t="shared" si="38"/>
        <v>-2174700.3269163123</v>
      </c>
      <c r="J72" s="63">
        <f t="shared" si="38"/>
        <v>-2218194.3334546383</v>
      </c>
      <c r="K72" s="63">
        <f t="shared" si="38"/>
        <v>-2262558.2201237311</v>
      </c>
      <c r="L72" s="63">
        <f t="shared" si="38"/>
        <v>-2307809.3845262057</v>
      </c>
      <c r="M72" s="52"/>
      <c r="N72" s="52"/>
      <c r="O72" s="52"/>
      <c r="P72" s="3">
        <f>6500+6495</f>
        <v>12995</v>
      </c>
    </row>
    <row r="73" spans="1:16" x14ac:dyDescent="0.25">
      <c r="A73" s="29" t="s">
        <v>91</v>
      </c>
      <c r="B73" s="52"/>
      <c r="C73" s="52">
        <f>C71+C72</f>
        <v>757500</v>
      </c>
      <c r="D73" s="52">
        <f t="shared" ref="D73:G73" si="39">D71+D72</f>
        <v>663065</v>
      </c>
      <c r="E73" s="52">
        <f t="shared" si="39"/>
        <v>669695.64999999991</v>
      </c>
      <c r="F73" s="52">
        <f t="shared" si="39"/>
        <v>683089.56299999962</v>
      </c>
      <c r="G73" s="52">
        <f t="shared" si="39"/>
        <v>696751.3542599997</v>
      </c>
      <c r="H73" s="52">
        <f t="shared" ref="H73" si="40">H71+H72</f>
        <v>710686.38134519989</v>
      </c>
      <c r="I73" s="52">
        <f t="shared" ref="I73" si="41">I71+I72</f>
        <v>724900.1089721038</v>
      </c>
      <c r="J73" s="52">
        <f t="shared" ref="J73" si="42">J71+J72</f>
        <v>739398.11115154624</v>
      </c>
      <c r="K73" s="52">
        <f t="shared" ref="K73" si="43">K71+K72</f>
        <v>754186.07337457733</v>
      </c>
      <c r="L73" s="52">
        <f t="shared" ref="L73" si="44">L71+L72</f>
        <v>769269.79484206857</v>
      </c>
      <c r="M73" s="52"/>
      <c r="N73" s="52"/>
      <c r="O73" s="52"/>
    </row>
    <row r="74" spans="1:16" ht="15.75" thickBot="1" x14ac:dyDescent="0.3">
      <c r="A74" s="29" t="s">
        <v>92</v>
      </c>
      <c r="B74" s="52"/>
      <c r="C74" s="52">
        <f>-C59*C65</f>
        <v>-303000</v>
      </c>
      <c r="D74" s="52">
        <f t="shared" ref="D74:F74" si="45">-D59*D65</f>
        <v>-306030</v>
      </c>
      <c r="E74" s="52">
        <f t="shared" si="45"/>
        <v>-309090.3</v>
      </c>
      <c r="F74" s="52">
        <f t="shared" si="45"/>
        <v>-315272.10599999997</v>
      </c>
      <c r="G74" s="52">
        <f>-G59*G65</f>
        <v>-321577.54811999999</v>
      </c>
      <c r="H74" s="52">
        <f t="shared" ref="H74:L74" si="46">-H59*H65</f>
        <v>-328009.09908239997</v>
      </c>
      <c r="I74" s="52">
        <f t="shared" si="46"/>
        <v>-334569.281064048</v>
      </c>
      <c r="J74" s="52">
        <f t="shared" si="46"/>
        <v>-341260.66668532899</v>
      </c>
      <c r="K74" s="52">
        <f t="shared" si="46"/>
        <v>-348085.8800190356</v>
      </c>
      <c r="L74" s="52">
        <f t="shared" si="46"/>
        <v>-355047.59761941625</v>
      </c>
      <c r="M74" s="52"/>
      <c r="N74" s="52"/>
      <c r="O74" s="52"/>
    </row>
    <row r="75" spans="1:16" ht="15.75" thickBot="1" x14ac:dyDescent="0.3">
      <c r="A75" s="86" t="s">
        <v>122</v>
      </c>
      <c r="B75" s="87">
        <f>+B67+B69</f>
        <v>-2290880</v>
      </c>
      <c r="C75" s="87">
        <f>+C67+C69+C73+C74</f>
        <v>490763.04000000004</v>
      </c>
      <c r="D75" s="87">
        <f t="shared" ref="D75:G75" si="47">+D67+D69+D73+D74</f>
        <v>354488.83040000009</v>
      </c>
      <c r="E75" s="87">
        <f t="shared" si="47"/>
        <v>355462.08740799996</v>
      </c>
      <c r="F75" s="87">
        <f t="shared" si="47"/>
        <v>362571.3291561596</v>
      </c>
      <c r="G75" s="87">
        <f t="shared" si="47"/>
        <v>369822.75573928287</v>
      </c>
      <c r="H75" s="87">
        <f t="shared" ref="H75" si="48">+H67+H69+H73+H74</f>
        <v>377219.21085406875</v>
      </c>
      <c r="I75" s="87">
        <f t="shared" ref="I75" si="49">+I67+I69+I73+I74</f>
        <v>384763.59507114993</v>
      </c>
      <c r="J75" s="87">
        <f t="shared" ref="J75" si="50">+J67+J69+J73+J74</f>
        <v>392458.86697257339</v>
      </c>
      <c r="K75" s="87">
        <f t="shared" ref="K75" si="51">+K67+K69+K73+K74</f>
        <v>400308.04431202501</v>
      </c>
      <c r="L75" s="88">
        <f t="shared" ref="L75" si="52">+L67+L69+L73+L74</f>
        <v>709621.79844200658</v>
      </c>
      <c r="M75" s="52"/>
      <c r="N75" s="52"/>
      <c r="O75" s="52"/>
    </row>
    <row r="76" spans="1:16" x14ac:dyDescent="0.25">
      <c r="A76" s="29" t="s">
        <v>118</v>
      </c>
      <c r="B76" s="52">
        <f>-B67</f>
        <v>2000000</v>
      </c>
      <c r="C76" s="52">
        <f>+B76+C77</f>
        <v>1600000</v>
      </c>
      <c r="D76" s="52">
        <f t="shared" ref="D76:G76" si="53">+C76+D77</f>
        <v>1280000</v>
      </c>
      <c r="E76" s="52">
        <f t="shared" si="53"/>
        <v>1024000</v>
      </c>
      <c r="F76" s="52">
        <f t="shared" si="53"/>
        <v>819200</v>
      </c>
      <c r="G76" s="52">
        <f t="shared" si="53"/>
        <v>655360</v>
      </c>
      <c r="H76" s="52">
        <f t="shared" ref="H76" si="54">+G76+H77</f>
        <v>524288</v>
      </c>
      <c r="I76" s="52">
        <f t="shared" ref="I76" si="55">+H76+I77</f>
        <v>419430.40000000002</v>
      </c>
      <c r="J76" s="52">
        <f t="shared" ref="J76" si="56">+I76+J77</f>
        <v>335544.32000000001</v>
      </c>
      <c r="K76" s="52">
        <f t="shared" ref="K76" si="57">+J76+K77</f>
        <v>268435.45600000001</v>
      </c>
      <c r="L76" s="52">
        <f t="shared" ref="L76" si="58">+K76+L77</f>
        <v>0</v>
      </c>
      <c r="M76" s="52"/>
      <c r="N76" s="52"/>
      <c r="O76" s="52"/>
    </row>
    <row r="77" spans="1:16" x14ac:dyDescent="0.25">
      <c r="A77" s="29" t="s">
        <v>93</v>
      </c>
      <c r="B77" s="52"/>
      <c r="C77" s="52">
        <f t="shared" ref="C77:K77" si="59">+-B76*$B$16</f>
        <v>-400000</v>
      </c>
      <c r="D77" s="52">
        <f t="shared" si="59"/>
        <v>-320000</v>
      </c>
      <c r="E77" s="52">
        <f t="shared" si="59"/>
        <v>-256000</v>
      </c>
      <c r="F77" s="52">
        <f t="shared" si="59"/>
        <v>-204800</v>
      </c>
      <c r="G77" s="52">
        <f t="shared" si="59"/>
        <v>-163840</v>
      </c>
      <c r="H77" s="52">
        <f t="shared" si="59"/>
        <v>-131072</v>
      </c>
      <c r="I77" s="52">
        <f t="shared" si="59"/>
        <v>-104857.60000000001</v>
      </c>
      <c r="J77" s="52">
        <f t="shared" si="59"/>
        <v>-83886.080000000016</v>
      </c>
      <c r="K77" s="52">
        <f t="shared" si="59"/>
        <v>-67108.864000000001</v>
      </c>
      <c r="L77" s="52">
        <f>-K76</f>
        <v>-268435.45600000001</v>
      </c>
      <c r="M77" s="52"/>
      <c r="N77" s="52"/>
      <c r="O77" s="52"/>
    </row>
    <row r="78" spans="1:16" x14ac:dyDescent="0.25">
      <c r="A78" s="89" t="s">
        <v>94</v>
      </c>
      <c r="B78" s="63"/>
      <c r="C78" s="63">
        <f>-C51</f>
        <v>-25000</v>
      </c>
      <c r="D78" s="63">
        <f t="shared" ref="D78:G78" si="60">-D51</f>
        <v>-25000</v>
      </c>
      <c r="E78" s="63">
        <f t="shared" si="60"/>
        <v>-20833.333333333336</v>
      </c>
      <c r="F78" s="63">
        <f t="shared" si="60"/>
        <v>-16666.666666666668</v>
      </c>
      <c r="G78" s="63">
        <f t="shared" si="60"/>
        <v>-12500.000000000004</v>
      </c>
      <c r="H78" s="63">
        <f t="shared" ref="H78:L78" si="61">-H51</f>
        <v>-8333.3333333333376</v>
      </c>
      <c r="I78" s="63">
        <f t="shared" si="61"/>
        <v>-4166.6666666666706</v>
      </c>
      <c r="J78" s="63">
        <f t="shared" si="61"/>
        <v>0</v>
      </c>
      <c r="K78" s="63">
        <f t="shared" si="61"/>
        <v>0</v>
      </c>
      <c r="L78" s="63">
        <f t="shared" si="61"/>
        <v>0</v>
      </c>
      <c r="M78" s="52"/>
      <c r="N78" s="52"/>
      <c r="O78" s="52"/>
    </row>
    <row r="79" spans="1:16" x14ac:dyDescent="0.25">
      <c r="A79" s="29" t="s">
        <v>95</v>
      </c>
      <c r="B79" s="52"/>
      <c r="C79" s="52">
        <f>+C73+C77+C78+C74</f>
        <v>29500</v>
      </c>
      <c r="D79" s="52">
        <f t="shared" ref="D79:G79" si="62">+D73+D77+D78+D74</f>
        <v>12035</v>
      </c>
      <c r="E79" s="52">
        <f t="shared" si="62"/>
        <v>83772.016666666605</v>
      </c>
      <c r="F79" s="52">
        <f t="shared" si="62"/>
        <v>146350.79033333296</v>
      </c>
      <c r="G79" s="52">
        <f t="shared" si="62"/>
        <v>198833.80613999971</v>
      </c>
      <c r="H79" s="52">
        <f t="shared" ref="H79" si="63">+H73+H77+H78+H74</f>
        <v>243271.94892946654</v>
      </c>
      <c r="I79" s="52">
        <f t="shared" ref="I79" si="64">+I73+I77+I78+I74</f>
        <v>281306.56124138919</v>
      </c>
      <c r="J79" s="52">
        <f t="shared" ref="J79" si="65">+J73+J77+J78+J74</f>
        <v>314251.36446621717</v>
      </c>
      <c r="K79" s="52">
        <f t="shared" ref="K79" si="66">+K73+K77+K78+K74</f>
        <v>338991.32935554167</v>
      </c>
      <c r="L79" s="52">
        <f t="shared" ref="L79" si="67">+L73+L77+L78+L74</f>
        <v>145786.74122265232</v>
      </c>
      <c r="M79" s="52"/>
      <c r="N79" s="52"/>
      <c r="O79" s="52"/>
    </row>
    <row r="80" spans="1:16" x14ac:dyDescent="0.25">
      <c r="A80" s="64" t="s">
        <v>96</v>
      </c>
      <c r="B80" s="63"/>
      <c r="C80" s="63">
        <f>-C79*$B$11</f>
        <v>-6490</v>
      </c>
      <c r="D80" s="63">
        <f t="shared" ref="D80:G80" si="68">-D79*$B$11</f>
        <v>-2647.7</v>
      </c>
      <c r="E80" s="63">
        <f t="shared" si="68"/>
        <v>-18429.843666666653</v>
      </c>
      <c r="F80" s="63">
        <f t="shared" si="68"/>
        <v>-32197.17387333325</v>
      </c>
      <c r="G80" s="63">
        <f t="shared" si="68"/>
        <v>-43743.437350799933</v>
      </c>
      <c r="H80" s="63">
        <f t="shared" ref="H80" si="69">-H79*$B$11</f>
        <v>-53519.828764482641</v>
      </c>
      <c r="I80" s="63">
        <f t="shared" ref="I80" si="70">-I79*$B$11</f>
        <v>-61887.443473105624</v>
      </c>
      <c r="J80" s="63">
        <f t="shared" ref="J80" si="71">-J79*$B$11</f>
        <v>-69135.300182567778</v>
      </c>
      <c r="K80" s="63">
        <f t="shared" ref="K80" si="72">-K79*$B$11</f>
        <v>-74578.092458219166</v>
      </c>
      <c r="L80" s="63">
        <f t="shared" ref="L80" si="73">-L79*$B$11</f>
        <v>-32073.083068983509</v>
      </c>
      <c r="M80" s="52"/>
      <c r="N80" s="52"/>
      <c r="O80" s="52"/>
    </row>
    <row r="81" spans="1:15" x14ac:dyDescent="0.25">
      <c r="A81" s="29" t="s">
        <v>97</v>
      </c>
      <c r="B81" s="52"/>
      <c r="C81" s="52">
        <f>C79+C80</f>
        <v>23010</v>
      </c>
      <c r="D81" s="52">
        <f t="shared" ref="D81:G81" si="74">D79+D80</f>
        <v>9387.2999999999993</v>
      </c>
      <c r="E81" s="52">
        <f t="shared" si="74"/>
        <v>65342.172999999952</v>
      </c>
      <c r="F81" s="52">
        <f t="shared" si="74"/>
        <v>114153.61645999971</v>
      </c>
      <c r="G81" s="52">
        <f t="shared" si="74"/>
        <v>155090.36878919977</v>
      </c>
      <c r="H81" s="52">
        <f t="shared" ref="H81" si="75">H79+H80</f>
        <v>189752.12016498391</v>
      </c>
      <c r="I81" s="52">
        <f t="shared" ref="I81" si="76">I79+I80</f>
        <v>219419.11776828358</v>
      </c>
      <c r="J81" s="52">
        <f t="shared" ref="J81" si="77">J79+J80</f>
        <v>245116.06428364938</v>
      </c>
      <c r="K81" s="52">
        <f t="shared" ref="K81" si="78">K79+K80</f>
        <v>264413.23689732252</v>
      </c>
      <c r="L81" s="52">
        <f t="shared" ref="L81" si="79">L79+L80</f>
        <v>113713.6581536688</v>
      </c>
      <c r="M81" s="52"/>
      <c r="N81" s="52"/>
      <c r="O81" s="52"/>
    </row>
    <row r="82" spans="1:15" x14ac:dyDescent="0.25">
      <c r="A82" s="29" t="s">
        <v>98</v>
      </c>
      <c r="B82" s="52"/>
      <c r="C82" s="52">
        <f>-C77</f>
        <v>400000</v>
      </c>
      <c r="D82" s="52">
        <f t="shared" ref="D82:G82" si="80">-D77</f>
        <v>320000</v>
      </c>
      <c r="E82" s="52">
        <f t="shared" si="80"/>
        <v>256000</v>
      </c>
      <c r="F82" s="52">
        <f t="shared" si="80"/>
        <v>204800</v>
      </c>
      <c r="G82" s="52">
        <f t="shared" si="80"/>
        <v>163840</v>
      </c>
      <c r="H82" s="52">
        <f t="shared" ref="H82:L82" si="81">-H77</f>
        <v>131072</v>
      </c>
      <c r="I82" s="52">
        <f t="shared" si="81"/>
        <v>104857.60000000001</v>
      </c>
      <c r="J82" s="52">
        <f t="shared" si="81"/>
        <v>83886.080000000016</v>
      </c>
      <c r="K82" s="52">
        <f t="shared" si="81"/>
        <v>67108.864000000001</v>
      </c>
      <c r="L82" s="52">
        <f t="shared" si="81"/>
        <v>268435.45600000001</v>
      </c>
      <c r="M82" s="52"/>
      <c r="N82" s="52"/>
      <c r="O82" s="52"/>
    </row>
    <row r="83" spans="1:15" ht="15.75" thickBot="1" x14ac:dyDescent="0.3">
      <c r="A83" s="90" t="s">
        <v>99</v>
      </c>
      <c r="B83" s="52">
        <f>+B53</f>
        <v>1000000</v>
      </c>
      <c r="C83" s="52">
        <f>-C52</f>
        <v>0</v>
      </c>
      <c r="D83" s="52">
        <f>-D52</f>
        <v>-166666.66666666666</v>
      </c>
      <c r="E83" s="52">
        <f>-E52</f>
        <v>-166666.66666666666</v>
      </c>
      <c r="F83" s="52">
        <f>-F52</f>
        <v>-166666.66666666666</v>
      </c>
      <c r="G83" s="52">
        <f>-G52</f>
        <v>-166666.66666666666</v>
      </c>
      <c r="H83" s="52">
        <f t="shared" ref="H83:L83" si="82">-H52</f>
        <v>-166666.66666666666</v>
      </c>
      <c r="I83" s="52">
        <f t="shared" si="82"/>
        <v>-166666.66666666666</v>
      </c>
      <c r="J83" s="52">
        <f t="shared" si="82"/>
        <v>0</v>
      </c>
      <c r="K83" s="52">
        <f t="shared" si="82"/>
        <v>0</v>
      </c>
      <c r="L83" s="52">
        <f t="shared" si="82"/>
        <v>0</v>
      </c>
      <c r="M83" s="52"/>
      <c r="N83" s="52"/>
      <c r="O83" s="52"/>
    </row>
    <row r="84" spans="1:15" ht="15.75" thickBot="1" x14ac:dyDescent="0.3">
      <c r="A84" s="86" t="s">
        <v>100</v>
      </c>
      <c r="B84" s="87">
        <f>B67+B69+B83</f>
        <v>-1290880</v>
      </c>
      <c r="C84" s="87">
        <f>C69+C81+C82+C83</f>
        <v>459273.04000000004</v>
      </c>
      <c r="D84" s="87">
        <f t="shared" ref="D84:G84" si="83">D69+D81+D82+D83</f>
        <v>160174.46373333337</v>
      </c>
      <c r="E84" s="87">
        <f t="shared" si="83"/>
        <v>149532.24374133334</v>
      </c>
      <c r="F84" s="87">
        <f t="shared" si="83"/>
        <v>147040.82194949299</v>
      </c>
      <c r="G84" s="87">
        <f t="shared" si="83"/>
        <v>146912.65172181625</v>
      </c>
      <c r="H84" s="87">
        <f t="shared" ref="H84" si="84">H69+H81+H82+H83</f>
        <v>148699.38208958614</v>
      </c>
      <c r="I84" s="87">
        <f t="shared" ref="I84" si="85">I69+I81+I82+I83</f>
        <v>152042.81826471115</v>
      </c>
      <c r="J84" s="87">
        <f t="shared" ref="J84" si="86">J69+J81+J82+J83</f>
        <v>323323.56679000554</v>
      </c>
      <c r="K84" s="87">
        <f t="shared" ref="K84" si="87">K69+K81+K82+K83</f>
        <v>325729.9518538058</v>
      </c>
      <c r="L84" s="88">
        <f t="shared" ref="L84" si="88">L69+L81+L82+L83</f>
        <v>677548.71537302318</v>
      </c>
      <c r="M84" s="52"/>
      <c r="N84" s="65"/>
      <c r="O84" s="52"/>
    </row>
    <row r="85" spans="1:15" ht="15.75" thickBot="1" x14ac:dyDescent="0.3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spans="1:15" ht="15.75" thickBot="1" x14ac:dyDescent="0.3">
      <c r="A86" s="66" t="s">
        <v>101</v>
      </c>
      <c r="B86" s="67">
        <f>+B84</f>
        <v>-1290880</v>
      </c>
      <c r="C86" s="67">
        <f t="shared" ref="C86:G86" si="89">+B86+C84</f>
        <v>-831606.96</v>
      </c>
      <c r="D86" s="67">
        <f t="shared" si="89"/>
        <v>-671432.49626666657</v>
      </c>
      <c r="E86" s="67">
        <f t="shared" si="89"/>
        <v>-521900.2525253332</v>
      </c>
      <c r="F86" s="67">
        <f t="shared" si="89"/>
        <v>-374859.43057584018</v>
      </c>
      <c r="G86" s="67">
        <f t="shared" si="89"/>
        <v>-227946.77885402393</v>
      </c>
      <c r="H86" s="67">
        <f t="shared" ref="H86" si="90">+G86+H84</f>
        <v>-79247.396764437784</v>
      </c>
      <c r="I86" s="67">
        <f t="shared" ref="I86" si="91">+H86+I84</f>
        <v>72795.421500273369</v>
      </c>
      <c r="J86" s="67">
        <f t="shared" ref="J86" si="92">+I86+J84</f>
        <v>396118.98829027894</v>
      </c>
      <c r="K86" s="67">
        <f t="shared" ref="K86" si="93">+J86+K84</f>
        <v>721848.94014408474</v>
      </c>
      <c r="L86" s="67">
        <f t="shared" ref="L86" si="94">+K86+L84</f>
        <v>1399397.6555171078</v>
      </c>
      <c r="M86" s="52"/>
      <c r="N86" s="52"/>
      <c r="O86" s="52"/>
    </row>
    <row r="87" spans="1:15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spans="1:15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1:15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5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4" t="s">
        <v>102</v>
      </c>
      <c r="L90" s="52"/>
      <c r="M90" s="54" t="s">
        <v>150</v>
      </c>
      <c r="N90" s="52"/>
      <c r="O90" s="52"/>
    </row>
    <row r="91" spans="1:15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6">
        <v>0</v>
      </c>
      <c r="L91" s="52"/>
      <c r="M91" s="81">
        <f>NPV(K91,$C$75:$L$75)+$B$75</f>
        <v>1906599.5583552662</v>
      </c>
      <c r="N91" s="52"/>
      <c r="O91" s="52"/>
    </row>
    <row r="92" spans="1:15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6">
        <v>0.01</v>
      </c>
      <c r="L92" s="52"/>
      <c r="M92" s="81">
        <f t="shared" ref="M92:M108" si="95">NPV(K92,$C$75:$L$75)+$B$75</f>
        <v>1672925.2184594846</v>
      </c>
      <c r="N92" s="52"/>
      <c r="O92" s="52"/>
    </row>
    <row r="93" spans="1:15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6">
        <v>0.02</v>
      </c>
      <c r="L93" s="52"/>
      <c r="M93" s="81">
        <f t="shared" si="95"/>
        <v>1457839.9166233195</v>
      </c>
      <c r="N93" s="52"/>
      <c r="O93" s="52"/>
    </row>
    <row r="94" spans="1:15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6">
        <v>0.03</v>
      </c>
      <c r="L94" s="52"/>
      <c r="M94" s="81">
        <f t="shared" si="95"/>
        <v>1259581.0068798279</v>
      </c>
      <c r="N94" s="52"/>
      <c r="O94" s="52"/>
    </row>
    <row r="95" spans="1:15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6">
        <v>0.04</v>
      </c>
      <c r="L95" s="52"/>
      <c r="M95" s="81">
        <f t="shared" si="95"/>
        <v>1076574.2937289672</v>
      </c>
      <c r="N95" s="52"/>
      <c r="O95" s="52"/>
    </row>
    <row r="96" spans="1:15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6">
        <v>0.05</v>
      </c>
      <c r="L96" s="52"/>
      <c r="M96" s="81">
        <f t="shared" si="95"/>
        <v>907411.8995872275</v>
      </c>
      <c r="N96" s="52"/>
      <c r="O96" s="52"/>
    </row>
    <row r="97" spans="1:15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6">
        <v>0.06</v>
      </c>
      <c r="L97" s="52"/>
      <c r="M97" s="81">
        <f t="shared" si="95"/>
        <v>750832.94438628806</v>
      </c>
      <c r="N97" s="52"/>
      <c r="O97" s="52"/>
    </row>
    <row r="98" spans="1:15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6">
        <v>7.0000000000000007E-2</v>
      </c>
      <c r="L98" s="52"/>
      <c r="M98" s="81">
        <f t="shared" si="95"/>
        <v>605706.65468637412</v>
      </c>
      <c r="N98" s="52"/>
      <c r="O98" s="52"/>
    </row>
    <row r="99" spans="1:15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6">
        <v>0.08</v>
      </c>
      <c r="L99" s="52"/>
      <c r="M99" s="81">
        <f t="shared" si="95"/>
        <v>471017.57500961516</v>
      </c>
      <c r="N99" s="52"/>
      <c r="O99" s="52"/>
    </row>
    <row r="100" spans="1:15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6">
        <v>0.09</v>
      </c>
      <c r="L100" s="52"/>
      <c r="M100" s="81">
        <f t="shared" si="95"/>
        <v>345852.60097974865</v>
      </c>
      <c r="N100" s="52"/>
      <c r="O100" s="52"/>
    </row>
    <row r="101" spans="1:15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6">
        <v>0.1</v>
      </c>
      <c r="L101" s="52"/>
      <c r="M101" s="81">
        <f t="shared" si="95"/>
        <v>229389.59363701846</v>
      </c>
      <c r="N101" s="52"/>
      <c r="O101" s="52"/>
    </row>
    <row r="102" spans="1:15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6">
        <v>0.11</v>
      </c>
      <c r="L102" s="52"/>
      <c r="M102" s="81">
        <f t="shared" si="95"/>
        <v>120887.36811207281</v>
      </c>
      <c r="N102" s="52"/>
      <c r="O102" s="52"/>
    </row>
    <row r="103" spans="1:15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6">
        <v>0.12</v>
      </c>
      <c r="L103" s="52"/>
      <c r="M103" s="81">
        <f t="shared" si="95"/>
        <v>19676.878631899599</v>
      </c>
      <c r="N103" s="52"/>
      <c r="O103" s="52"/>
    </row>
    <row r="104" spans="1:15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6">
        <v>0.13</v>
      </c>
      <c r="L104" s="52"/>
      <c r="M104" s="81">
        <f t="shared" si="95"/>
        <v>-74846.553619165439</v>
      </c>
      <c r="N104" s="52"/>
      <c r="O104" s="52"/>
    </row>
    <row r="105" spans="1:15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6">
        <v>0.14000000000000001</v>
      </c>
      <c r="L105" s="52"/>
      <c r="M105" s="81">
        <f t="shared" si="95"/>
        <v>-163230.10229266994</v>
      </c>
      <c r="N105" s="52"/>
      <c r="O105" s="52"/>
    </row>
    <row r="106" spans="1:15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6">
        <v>0.15</v>
      </c>
      <c r="L106" s="52"/>
      <c r="M106" s="81">
        <f t="shared" si="95"/>
        <v>-245969.5018968042</v>
      </c>
      <c r="N106" s="52"/>
      <c r="O106" s="52"/>
    </row>
    <row r="107" spans="1:15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6">
        <v>0.16</v>
      </c>
      <c r="L107" s="52"/>
      <c r="M107" s="81">
        <f t="shared" si="95"/>
        <v>-323514.41725227167</v>
      </c>
      <c r="N107" s="52"/>
      <c r="O107" s="52"/>
    </row>
    <row r="108" spans="1:15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6">
        <v>0.17</v>
      </c>
      <c r="L108" s="52"/>
      <c r="M108" s="81">
        <f t="shared" si="95"/>
        <v>-396273.20240699779</v>
      </c>
      <c r="N108" s="52"/>
      <c r="O108" s="52"/>
    </row>
    <row r="109" spans="1:15" ht="15.75" thickBot="1" x14ac:dyDescent="0.3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6"/>
      <c r="L109" s="52"/>
      <c r="M109" s="52"/>
      <c r="N109" s="52"/>
      <c r="O109" s="52"/>
    </row>
    <row r="110" spans="1:15" ht="15.75" thickBot="1" x14ac:dyDescent="0.3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92" t="s">
        <v>129</v>
      </c>
      <c r="L110" s="52"/>
      <c r="M110" s="93">
        <f>IRR(B84:L84)</f>
        <v>0.1445813014919819</v>
      </c>
      <c r="N110" s="52"/>
      <c r="O110" s="52"/>
    </row>
    <row r="111" spans="1:15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6"/>
      <c r="L111" s="52"/>
      <c r="M111" s="52"/>
      <c r="N111" s="52"/>
      <c r="O111" s="52"/>
    </row>
    <row r="112" spans="1:15" x14ac:dyDescent="0.25">
      <c r="A112" s="3" t="s">
        <v>50</v>
      </c>
      <c r="B112" s="52"/>
      <c r="C112" s="52"/>
      <c r="D112" s="52"/>
      <c r="E112" s="52"/>
      <c r="F112" s="52"/>
      <c r="H112" s="52"/>
      <c r="I112" s="52"/>
      <c r="J112" s="52"/>
      <c r="K112" s="56"/>
      <c r="L112" s="52"/>
      <c r="M112" s="52"/>
      <c r="N112" s="52"/>
      <c r="O112" s="52"/>
    </row>
    <row r="113" spans="1:15" x14ac:dyDescent="0.25">
      <c r="A113" s="52" t="s">
        <v>130</v>
      </c>
      <c r="B113" s="52"/>
      <c r="C113" s="52"/>
      <c r="D113" s="52"/>
      <c r="E113" s="52"/>
      <c r="F113" s="52"/>
      <c r="H113" s="52"/>
      <c r="I113" s="52"/>
      <c r="J113" s="68"/>
      <c r="K113" s="52"/>
      <c r="L113" s="52"/>
      <c r="M113" s="52"/>
      <c r="N113" s="52"/>
      <c r="O113" s="52"/>
    </row>
    <row r="114" spans="1:15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spans="1:15" x14ac:dyDescent="0.25">
      <c r="A115" s="52" t="s">
        <v>132</v>
      </c>
      <c r="B115" s="69">
        <f>6-H86/I84</f>
        <v>6.5212176258563268</v>
      </c>
      <c r="C115" s="52" t="s">
        <v>131</v>
      </c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spans="1:15" x14ac:dyDescent="0.25">
      <c r="A116" s="52" t="s">
        <v>133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</row>
    <row r="117" spans="1:15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spans="1:15" x14ac:dyDescent="0.25">
      <c r="A118" s="52" t="s">
        <v>103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</row>
    <row r="119" spans="1:15" x14ac:dyDescent="0.25">
      <c r="A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spans="1:15" x14ac:dyDescent="0.25">
      <c r="B120" s="52"/>
      <c r="C120" s="52" t="s">
        <v>135</v>
      </c>
      <c r="D120" s="70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spans="1:15" x14ac:dyDescent="0.25">
      <c r="B121" s="94" t="s">
        <v>134</v>
      </c>
      <c r="C121" s="57" t="s">
        <v>136</v>
      </c>
      <c r="D121" s="95" t="s">
        <v>137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spans="1:15" x14ac:dyDescent="0.25">
      <c r="B122" s="52">
        <v>1</v>
      </c>
      <c r="C122" s="116">
        <v>-0.08</v>
      </c>
      <c r="D122" s="116">
        <v>-0.06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</row>
    <row r="123" spans="1:15" x14ac:dyDescent="0.25">
      <c r="B123" s="52">
        <v>2</v>
      </c>
      <c r="C123" s="116">
        <v>0.01</v>
      </c>
      <c r="D123" s="116">
        <v>0.02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spans="1:15" x14ac:dyDescent="0.25">
      <c r="B124" s="52">
        <v>3</v>
      </c>
      <c r="C124" s="116">
        <v>0.04</v>
      </c>
      <c r="D124" s="116">
        <v>0.03</v>
      </c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spans="1:15" x14ac:dyDescent="0.25">
      <c r="B125" s="52">
        <v>4</v>
      </c>
      <c r="C125" s="116">
        <v>0.03</v>
      </c>
      <c r="D125" s="116">
        <v>-0.01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spans="1:15" x14ac:dyDescent="0.25">
      <c r="B126" s="52"/>
      <c r="C126" s="70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spans="1:15" x14ac:dyDescent="0.25">
      <c r="A127" s="3" t="s">
        <v>40</v>
      </c>
      <c r="B127" s="69">
        <f>SLOPE(C122:C125,D122:D125)</f>
        <v>1.2040816326530615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spans="1:15" x14ac:dyDescent="0.25">
      <c r="A128" s="52" t="s">
        <v>138</v>
      </c>
      <c r="B128" s="52"/>
      <c r="C128" s="70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spans="1:15" x14ac:dyDescent="0.25">
      <c r="A129" s="52"/>
      <c r="B129" s="52"/>
      <c r="C129" s="70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spans="1:15" x14ac:dyDescent="0.25">
      <c r="A130" s="52" t="s">
        <v>104</v>
      </c>
      <c r="B130" s="52"/>
      <c r="C130" s="70"/>
      <c r="D130" s="52"/>
      <c r="E130" s="69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spans="1:15" x14ac:dyDescent="0.25">
      <c r="B131" s="52" t="s">
        <v>139</v>
      </c>
      <c r="C131" s="70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spans="1:15" x14ac:dyDescent="0.25">
      <c r="B132" s="52" t="s">
        <v>140</v>
      </c>
      <c r="C132" s="70">
        <f>1.5%+1.2*6%</f>
        <v>8.6999999999999994E-2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spans="1:15" x14ac:dyDescent="0.25">
      <c r="A133" s="52"/>
      <c r="B133" s="52"/>
      <c r="C133" s="70"/>
      <c r="D133" s="52"/>
      <c r="E133" s="52" t="s">
        <v>151</v>
      </c>
      <c r="F133" s="52"/>
      <c r="G133" s="52"/>
      <c r="H133" s="52"/>
      <c r="I133" s="52"/>
      <c r="J133" s="52"/>
      <c r="K133" s="52"/>
      <c r="L133" s="52"/>
      <c r="M133" s="52"/>
      <c r="N133" s="52"/>
      <c r="O133" s="52"/>
    </row>
    <row r="134" spans="1:15" x14ac:dyDescent="0.25">
      <c r="A134" s="52" t="s">
        <v>141</v>
      </c>
      <c r="B134" s="52"/>
      <c r="C134" s="70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spans="1:15" x14ac:dyDescent="0.25">
      <c r="A135" s="52"/>
      <c r="B135" s="52"/>
      <c r="C135" s="70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</row>
    <row r="136" spans="1:15" x14ac:dyDescent="0.25">
      <c r="A136" s="52" t="s">
        <v>142</v>
      </c>
      <c r="B136" s="52" t="s">
        <v>144</v>
      </c>
      <c r="C136" s="70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</row>
    <row r="137" spans="1:15" ht="15.75" thickBot="1" x14ac:dyDescent="0.3">
      <c r="A137" s="3" t="s">
        <v>143</v>
      </c>
      <c r="B137" s="7">
        <f>+C132</f>
        <v>8.6999999999999994E-2</v>
      </c>
      <c r="C137" s="70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spans="1:15" x14ac:dyDescent="0.25">
      <c r="A138" s="96" t="s">
        <v>128</v>
      </c>
      <c r="B138" s="97">
        <f>NPV(B137,C84:L84)+B84</f>
        <v>374512.16612251569</v>
      </c>
      <c r="C138" s="70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</row>
    <row r="139" spans="1:15" ht="15.75" thickBot="1" x14ac:dyDescent="0.3">
      <c r="A139" s="98"/>
      <c r="B139" s="99"/>
    </row>
    <row r="140" spans="1:15" x14ac:dyDescent="0.25">
      <c r="A140" s="52"/>
      <c r="B140" s="52"/>
    </row>
    <row r="142" spans="1:15" x14ac:dyDescent="0.25">
      <c r="A142" s="3" t="s">
        <v>148</v>
      </c>
    </row>
    <row r="143" spans="1:15" x14ac:dyDescent="0.25">
      <c r="A143" s="3" t="s">
        <v>149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CF37245D41224792737AA340440B05" ma:contentTypeVersion="8" ma:contentTypeDescription="Opprett et nytt dokument." ma:contentTypeScope="" ma:versionID="95eaa460dcfb65c634267006bde3a34d">
  <xsd:schema xmlns:xsd="http://www.w3.org/2001/XMLSchema" xmlns:xs="http://www.w3.org/2001/XMLSchema" xmlns:p="http://schemas.microsoft.com/office/2006/metadata/properties" xmlns:ns3="574415da-b876-4733-b587-ac50867c1266" targetNamespace="http://schemas.microsoft.com/office/2006/metadata/properties" ma:root="true" ma:fieldsID="91ed2450d5e1ffd3a521c9813d60b030" ns3:_="">
    <xsd:import namespace="574415da-b876-4733-b587-ac50867c12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415da-b876-4733-b587-ac50867c1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6CD3CF-3D27-4D20-A5D1-BFDAFBB9492A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574415da-b876-4733-b587-ac50867c126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63BD789-3D72-4F7C-82AC-F022688EEF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BFF512-AE55-416B-B15A-CD11C0564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415da-b876-4733-b587-ac50867c1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1</vt:lpstr>
      <vt:lpstr>Oppgave 2</vt:lpstr>
      <vt:lpstr>oppgave 3</vt:lpstr>
    </vt:vector>
  </TitlesOfParts>
  <Company>Høgskolen i Østfold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Sand Aas</dc:creator>
  <cp:lastModifiedBy>Raul Boris Farina Briceno</cp:lastModifiedBy>
  <dcterms:created xsi:type="dcterms:W3CDTF">2020-04-01T09:09:59Z</dcterms:created>
  <dcterms:modified xsi:type="dcterms:W3CDTF">2020-05-29T11:54:11Z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0x01010044CF37245D41224792737AA340440B05</vt:lpwstr>
  </property>
</Properties>
</file>