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TUDIE\EKSAMEN\Eksamen Halden\Oppgavesett\Høst 2023\ØIS\"/>
    </mc:Choice>
  </mc:AlternateContent>
  <xr:revisionPtr revIDLastSave="0" documentId="8_{E725D1DF-4E94-4B2E-9105-14812026227C}" xr6:coauthVersionLast="47" xr6:coauthVersionMax="47" xr10:uidLastSave="{00000000-0000-0000-0000-000000000000}"/>
  <bookViews>
    <workbookView xWindow="-120" yWindow="-120" windowWidth="29040" windowHeight="17520" firstSheet="8" activeTab="14" xr2:uid="{DF1FACFE-C0FF-406E-8162-9B2135309D6F}"/>
  </bookViews>
  <sheets>
    <sheet name="Oppgave 1" sheetId="1" r:id="rId1"/>
    <sheet name="L_oppgave 1" sheetId="2" r:id="rId2"/>
    <sheet name="Oppgave 2" sheetId="3" r:id="rId3"/>
    <sheet name="L_oppgave 2" sheetId="19" r:id="rId4"/>
    <sheet name="Oppgave 3" sheetId="16" r:id="rId5"/>
    <sheet name="L_oppgave 3 med fortegn" sheetId="17" r:id="rId6"/>
    <sheet name="L_oppgave 3 med T_kontoer" sheetId="18" r:id="rId7"/>
    <sheet name="Oppgave 4" sheetId="7" r:id="rId8"/>
    <sheet name="L_oppgave 4" sheetId="8" r:id="rId9"/>
    <sheet name="Oppgave 5" sheetId="9" r:id="rId10"/>
    <sheet name="L_oppgave 5" sheetId="10" r:id="rId11"/>
    <sheet name="Oppgave 6" sheetId="11" r:id="rId12"/>
    <sheet name="L_oppgave 6" sheetId="12" r:id="rId13"/>
    <sheet name="Oppgave 7" sheetId="13" r:id="rId14"/>
    <sheet name="L_oppgave 7" sheetId="1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9" l="1"/>
  <c r="B11" i="19" s="1"/>
  <c r="E11" i="19" s="1"/>
  <c r="D42" i="19" s="1"/>
  <c r="B3" i="3"/>
  <c r="D53" i="19"/>
  <c r="D49" i="19"/>
  <c r="D32" i="19"/>
  <c r="D9" i="19"/>
  <c r="D2" i="19"/>
  <c r="D30" i="19" s="1"/>
  <c r="E9" i="19" l="1"/>
  <c r="D14" i="19"/>
  <c r="D48" i="19"/>
  <c r="D15" i="19"/>
  <c r="D16" i="19" s="1"/>
  <c r="D31" i="19"/>
  <c r="D33" i="19" s="1"/>
  <c r="D36" i="19" s="1"/>
  <c r="D38" i="19" s="1"/>
  <c r="D26" i="19"/>
  <c r="D19" i="19" l="1"/>
  <c r="D21" i="19" s="1"/>
  <c r="D25" i="19" s="1"/>
  <c r="D27" i="19" s="1"/>
  <c r="D47" i="19"/>
  <c r="D50" i="19" s="1"/>
  <c r="D41" i="19"/>
  <c r="D43" i="19" s="1"/>
  <c r="G14" i="15" l="1"/>
  <c r="H14" i="15"/>
  <c r="I14" i="15"/>
  <c r="F14" i="15"/>
  <c r="C22" i="16" l="1"/>
  <c r="B22" i="16"/>
  <c r="C18" i="16"/>
  <c r="B18" i="16"/>
  <c r="C33" i="16"/>
  <c r="B33" i="16"/>
  <c r="C27" i="16"/>
  <c r="B27" i="16"/>
  <c r="C11" i="16"/>
  <c r="B11" i="16"/>
  <c r="C5" i="16"/>
  <c r="B5" i="16"/>
  <c r="D61" i="18"/>
  <c r="C61" i="18"/>
  <c r="E60" i="18"/>
  <c r="D60" i="18"/>
  <c r="C60" i="18"/>
  <c r="F54" i="18"/>
  <c r="E54" i="18"/>
  <c r="I53" i="18"/>
  <c r="I51" i="18"/>
  <c r="C49" i="18"/>
  <c r="D48" i="18"/>
  <c r="I47" i="18"/>
  <c r="C46" i="18"/>
  <c r="C48" i="18" s="1"/>
  <c r="H45" i="18"/>
  <c r="I45" i="18" s="1"/>
  <c r="D38" i="18"/>
  <c r="D39" i="18" s="1"/>
  <c r="C38" i="18"/>
  <c r="C40" i="18" s="1"/>
  <c r="I37" i="18"/>
  <c r="I35" i="18"/>
  <c r="M34" i="18"/>
  <c r="M36" i="18" s="1"/>
  <c r="I34" i="18"/>
  <c r="D27" i="18"/>
  <c r="C27" i="18"/>
  <c r="G26" i="18"/>
  <c r="F25" i="18"/>
  <c r="G25" i="18" s="1"/>
  <c r="G24" i="18"/>
  <c r="F24" i="18"/>
  <c r="G23" i="18"/>
  <c r="E23" i="18"/>
  <c r="G22" i="18"/>
  <c r="E22" i="18"/>
  <c r="D21" i="18"/>
  <c r="C21" i="18"/>
  <c r="E20" i="18"/>
  <c r="G20" i="18" s="1"/>
  <c r="F19" i="18"/>
  <c r="F27" i="18" s="1"/>
  <c r="E18" i="18"/>
  <c r="G18" i="18" s="1"/>
  <c r="D12" i="18"/>
  <c r="E17" i="18" s="1"/>
  <c r="D9" i="18"/>
  <c r="C9" i="18"/>
  <c r="E9" i="18" s="1"/>
  <c r="E8" i="18"/>
  <c r="D8" i="18"/>
  <c r="E7" i="18"/>
  <c r="D7" i="18"/>
  <c r="E6" i="18"/>
  <c r="D6" i="18"/>
  <c r="E5" i="18"/>
  <c r="D5" i="18"/>
  <c r="D40" i="18" l="1"/>
  <c r="E27" i="18"/>
  <c r="G17" i="18"/>
  <c r="G21" i="18" s="1"/>
  <c r="M33" i="18"/>
  <c r="C42" i="18"/>
  <c r="C50" i="18"/>
  <c r="E62" i="18"/>
  <c r="G52" i="18"/>
  <c r="G27" i="18"/>
  <c r="I49" i="18"/>
  <c r="H39" i="18" l="1"/>
  <c r="I39" i="18" s="1"/>
  <c r="I52" i="18"/>
  <c r="D62" i="18"/>
  <c r="C62" i="18"/>
  <c r="C57" i="18"/>
  <c r="E59" i="18"/>
  <c r="C59" i="18" s="1"/>
  <c r="H44" i="18"/>
  <c r="D50" i="18"/>
  <c r="D54" i="18" s="1"/>
  <c r="D42" i="18"/>
  <c r="E58" i="18" s="1"/>
  <c r="C54" i="18"/>
  <c r="D58" i="18" l="1"/>
  <c r="D63" i="18" s="1"/>
  <c r="I41" i="18" s="1"/>
  <c r="C58" i="18"/>
  <c r="E57" i="18"/>
  <c r="E63" i="18" s="1"/>
  <c r="C63" i="18"/>
  <c r="I42" i="18" s="1"/>
  <c r="H42" i="18" s="1"/>
  <c r="G50" i="18" s="1"/>
  <c r="G54" i="18" s="1"/>
  <c r="H54" i="18"/>
  <c r="I44" i="18"/>
  <c r="I48" i="18" s="1"/>
  <c r="G36" i="18"/>
  <c r="I36" i="18" s="1"/>
  <c r="I38" i="18" s="1"/>
  <c r="I40" i="18" s="1"/>
  <c r="I50" i="18"/>
  <c r="I54" i="18" s="1"/>
  <c r="D86" i="17" l="1"/>
  <c r="C86" i="17"/>
  <c r="H69" i="17" s="1"/>
  <c r="E85" i="17"/>
  <c r="E86" i="17" s="1"/>
  <c r="D85" i="17"/>
  <c r="E84" i="17"/>
  <c r="D84" i="17"/>
  <c r="E82" i="17"/>
  <c r="D82" i="17"/>
  <c r="D81" i="17"/>
  <c r="H68" i="17"/>
  <c r="H66" i="17"/>
  <c r="I72" i="17" s="1"/>
  <c r="H57" i="17" s="1"/>
  <c r="I58" i="17"/>
  <c r="E56" i="17"/>
  <c r="F55" i="17"/>
  <c r="E55" i="17"/>
  <c r="C55" i="17"/>
  <c r="C59" i="17" s="1"/>
  <c r="F54" i="17"/>
  <c r="I54" i="17" s="1"/>
  <c r="E54" i="17"/>
  <c r="C54" i="17"/>
  <c r="D53" i="17"/>
  <c r="C53" i="17"/>
  <c r="I51" i="17"/>
  <c r="E51" i="17"/>
  <c r="C51" i="17"/>
  <c r="F49" i="17"/>
  <c r="E49" i="17"/>
  <c r="I49" i="17" s="1"/>
  <c r="F41" i="17"/>
  <c r="E41" i="17"/>
  <c r="D41" i="17"/>
  <c r="D55" i="17" s="1"/>
  <c r="C41" i="17"/>
  <c r="I40" i="17"/>
  <c r="D40" i="17"/>
  <c r="D39" i="17"/>
  <c r="C39" i="17"/>
  <c r="I38" i="17"/>
  <c r="I37" i="17"/>
  <c r="I36" i="17"/>
  <c r="I35" i="17"/>
  <c r="I39" i="17" s="1"/>
  <c r="I41" i="17" s="1"/>
  <c r="D29" i="17"/>
  <c r="C29" i="17"/>
  <c r="G28" i="17"/>
  <c r="G25" i="17"/>
  <c r="D90" i="17" s="1"/>
  <c r="G24" i="17"/>
  <c r="D23" i="17"/>
  <c r="C23" i="17"/>
  <c r="G21" i="17"/>
  <c r="G19" i="17"/>
  <c r="C9" i="17"/>
  <c r="E9" i="17" s="1"/>
  <c r="F27" i="17" s="1"/>
  <c r="F57" i="17" s="1"/>
  <c r="E8" i="17"/>
  <c r="D8" i="17"/>
  <c r="E7" i="17"/>
  <c r="F22" i="17" s="1"/>
  <c r="D7" i="17"/>
  <c r="E22" i="17" s="1"/>
  <c r="E6" i="17"/>
  <c r="D6" i="17"/>
  <c r="E5" i="17"/>
  <c r="D5" i="17"/>
  <c r="E87" i="17" l="1"/>
  <c r="F52" i="17"/>
  <c r="F29" i="17"/>
  <c r="E10" i="17"/>
  <c r="F26" i="17" s="1"/>
  <c r="D59" i="17"/>
  <c r="E52" i="17"/>
  <c r="I52" i="17" s="1"/>
  <c r="G22" i="17"/>
  <c r="C10" i="17"/>
  <c r="D9" i="17"/>
  <c r="E27" i="17" s="1"/>
  <c r="G27" i="17" l="1"/>
  <c r="E57" i="17"/>
  <c r="I57" i="17" s="1"/>
  <c r="D10" i="17"/>
  <c r="D12" i="17" s="1"/>
  <c r="G26" i="17"/>
  <c r="F56" i="17"/>
  <c r="G56" i="17"/>
  <c r="G55" i="17"/>
  <c r="I42" i="17"/>
  <c r="I43" i="17" s="1"/>
  <c r="F59" i="17" l="1"/>
  <c r="I56" i="17"/>
  <c r="G29" i="17"/>
  <c r="G59" i="17"/>
  <c r="C66" i="17"/>
  <c r="C83" i="17" s="1"/>
  <c r="E20" i="17"/>
  <c r="E50" i="17" l="1"/>
  <c r="E29" i="17"/>
  <c r="G20" i="17"/>
  <c r="G23" i="17" s="1"/>
  <c r="H67" i="17"/>
  <c r="H70" i="17" s="1"/>
  <c r="H55" i="17" s="1"/>
  <c r="D83" i="17"/>
  <c r="D87" i="17" s="1"/>
  <c r="D91" i="17" s="1"/>
  <c r="D92" i="17" s="1"/>
  <c r="C87" i="17"/>
  <c r="H59" i="17" l="1"/>
  <c r="I55" i="17"/>
  <c r="I59" i="17" s="1"/>
  <c r="I50" i="17"/>
  <c r="I53" i="17" s="1"/>
  <c r="E59" i="17"/>
  <c r="C6" i="12" l="1"/>
  <c r="C7" i="12"/>
  <c r="B3" i="12"/>
  <c r="C3" i="12" s="1"/>
  <c r="E2" i="12"/>
  <c r="D2" i="12"/>
  <c r="C2" i="12"/>
  <c r="E27" i="10"/>
  <c r="C18" i="10"/>
  <c r="C4" i="10"/>
  <c r="D21" i="10" s="1"/>
  <c r="F2" i="12" l="1"/>
  <c r="E3" i="12"/>
  <c r="F3" i="12" s="1"/>
  <c r="C12" i="12" s="1"/>
  <c r="D23" i="10"/>
  <c r="D12" i="10"/>
  <c r="D11" i="10"/>
  <c r="D22" i="10"/>
  <c r="D10" i="10"/>
  <c r="D24" i="10"/>
  <c r="D9" i="10"/>
  <c r="D25" i="10"/>
  <c r="D8" i="10"/>
  <c r="D18" i="10"/>
  <c r="G18" i="10" s="1"/>
  <c r="B19" i="10" s="1"/>
  <c r="D26" i="10"/>
  <c r="D4" i="10"/>
  <c r="E4" i="10" s="1"/>
  <c r="B5" i="10" s="1"/>
  <c r="D7" i="10"/>
  <c r="D19" i="10"/>
  <c r="D27" i="10"/>
  <c r="D14" i="10"/>
  <c r="D6" i="10"/>
  <c r="D20" i="10"/>
  <c r="D13" i="10"/>
  <c r="D5" i="10"/>
  <c r="C8" i="12" l="1"/>
  <c r="C9" i="12" s="1"/>
  <c r="G19" i="10"/>
  <c r="B20" i="10" s="1"/>
  <c r="G20" i="10" s="1"/>
  <c r="B21" i="10" s="1"/>
  <c r="G21" i="10" s="1"/>
  <c r="B22" i="10" s="1"/>
  <c r="G22" i="10" s="1"/>
  <c r="B23" i="10" s="1"/>
  <c r="G23" i="10" s="1"/>
  <c r="B24" i="10" s="1"/>
  <c r="G24" i="10" s="1"/>
  <c r="B25" i="10" s="1"/>
  <c r="G25" i="10" s="1"/>
  <c r="B26" i="10" s="1"/>
  <c r="G26" i="10" s="1"/>
  <c r="B27" i="10" s="1"/>
  <c r="E5" i="10"/>
  <c r="B6" i="10" s="1"/>
  <c r="E6" i="10" s="1"/>
  <c r="B7" i="10" s="1"/>
  <c r="E7" i="10" s="1"/>
  <c r="B8" i="10" s="1"/>
  <c r="E8" i="10" s="1"/>
  <c r="B9" i="10" s="1"/>
  <c r="E9" i="10" s="1"/>
  <c r="B10" i="10" s="1"/>
  <c r="E10" i="10" s="1"/>
  <c r="B11" i="10" s="1"/>
  <c r="E11" i="10" s="1"/>
  <c r="B12" i="10" s="1"/>
  <c r="E12" i="10" s="1"/>
  <c r="B13" i="10" s="1"/>
  <c r="E13" i="10" s="1"/>
  <c r="B14" i="10" s="1"/>
  <c r="E14" i="10" s="1"/>
  <c r="G27" i="10" l="1"/>
  <c r="B28" i="10" s="1"/>
  <c r="D28" i="10" l="1"/>
  <c r="E30" i="10" l="1"/>
  <c r="F28" i="10"/>
  <c r="E31" i="10" l="1"/>
  <c r="E32" i="10" s="1"/>
  <c r="G28" i="10"/>
  <c r="E33" i="10" s="1"/>
  <c r="F26" i="8" l="1"/>
  <c r="E10" i="7"/>
  <c r="F19" i="8" s="1"/>
  <c r="E11" i="7"/>
  <c r="G21" i="8" s="1"/>
  <c r="E14" i="7"/>
  <c r="F20" i="8" s="1"/>
  <c r="E15" i="7"/>
  <c r="G22" i="8" s="1"/>
  <c r="E16" i="7"/>
  <c r="F23" i="8" s="1"/>
  <c r="E9" i="7"/>
  <c r="F18" i="8" s="1"/>
  <c r="E26" i="2"/>
  <c r="E13" i="2"/>
  <c r="D11" i="2"/>
  <c r="D15" i="2" s="1"/>
  <c r="D10" i="2"/>
  <c r="D9" i="2"/>
  <c r="D4" i="1"/>
  <c r="D5" i="1"/>
  <c r="D6" i="1"/>
  <c r="D3" i="1"/>
  <c r="E8" i="2" s="1"/>
  <c r="D14" i="2" s="1"/>
  <c r="F24" i="8" l="1"/>
  <c r="G24" i="8"/>
  <c r="F25" i="8" l="1"/>
  <c r="F52" i="13" l="1"/>
  <c r="G52" i="13"/>
  <c r="H52" i="13"/>
  <c r="I52" i="13"/>
  <c r="E52" i="13"/>
  <c r="F46" i="13"/>
  <c r="G46" i="13"/>
  <c r="H46" i="13"/>
  <c r="I46" i="13"/>
  <c r="E46" i="13"/>
  <c r="F27" i="13"/>
  <c r="G27" i="13"/>
  <c r="H27" i="13"/>
  <c r="I27" i="13"/>
  <c r="E27" i="13"/>
  <c r="F5" i="13"/>
  <c r="G5" i="13"/>
  <c r="H5" i="13"/>
  <c r="I5" i="13"/>
  <c r="I10" i="13" s="1"/>
  <c r="E5" i="13"/>
  <c r="I41" i="13"/>
  <c r="H41" i="13"/>
  <c r="G41" i="13"/>
  <c r="F41" i="13"/>
  <c r="E41" i="13"/>
  <c r="I34" i="13"/>
  <c r="H34" i="13"/>
  <c r="G34" i="13"/>
  <c r="F34" i="13"/>
  <c r="E34" i="13"/>
  <c r="E8" i="15" s="1"/>
  <c r="I15" i="13"/>
  <c r="H15" i="13"/>
  <c r="G15" i="13"/>
  <c r="F15" i="13"/>
  <c r="E15" i="13"/>
  <c r="I13" i="13"/>
  <c r="H13" i="13"/>
  <c r="G13" i="13"/>
  <c r="F13" i="13"/>
  <c r="E13" i="13"/>
  <c r="E53" i="13" l="1"/>
  <c r="E10" i="15" s="1"/>
  <c r="F53" i="13"/>
  <c r="F35" i="13"/>
  <c r="H10" i="13"/>
  <c r="H16" i="13" s="1"/>
  <c r="G53" i="13"/>
  <c r="H53" i="13"/>
  <c r="I53" i="13"/>
  <c r="G35" i="13"/>
  <c r="E35" i="13"/>
  <c r="E5" i="15" s="1"/>
  <c r="H35" i="13"/>
  <c r="I35" i="13"/>
  <c r="I16" i="13"/>
  <c r="E10" i="13"/>
  <c r="E6" i="15" s="1"/>
  <c r="F10" i="13"/>
  <c r="G10" i="13"/>
  <c r="I18" i="13" l="1"/>
  <c r="I54" i="13"/>
  <c r="F54" i="13"/>
  <c r="H54" i="13"/>
  <c r="E54" i="13"/>
  <c r="E9" i="15" s="1"/>
  <c r="G54" i="13"/>
  <c r="H18" i="13"/>
  <c r="E16" i="13"/>
  <c r="E7" i="15" s="1"/>
  <c r="G16" i="13"/>
  <c r="F16" i="13"/>
  <c r="F18" i="13" l="1"/>
  <c r="G18" i="13"/>
  <c r="E18" i="13"/>
  <c r="E4" i="15" l="1"/>
  <c r="E14" i="15" s="1"/>
  <c r="E3" i="15"/>
</calcChain>
</file>

<file path=xl/sharedStrings.xml><?xml version="1.0" encoding="utf-8"?>
<sst xmlns="http://schemas.openxmlformats.org/spreadsheetml/2006/main" count="469" uniqueCount="277">
  <si>
    <t>Opplysninger til spørsmål a:</t>
  </si>
  <si>
    <t>Resultatregnskap (i hele 1 000)</t>
  </si>
  <si>
    <t>Salgsinntekter</t>
  </si>
  <si>
    <t>Sum driftsinntekter</t>
  </si>
  <si>
    <t>Varekostnad</t>
  </si>
  <si>
    <t>Lønnskostnader</t>
  </si>
  <si>
    <t>Ordinære avskrivninger</t>
  </si>
  <si>
    <t>Andre driftskostnader</t>
  </si>
  <si>
    <t>Driftsresultat</t>
  </si>
  <si>
    <t>Sum annen renteinntekt</t>
  </si>
  <si>
    <t>Sum annen finansinntekt</t>
  </si>
  <si>
    <t>Sum finansinntekter</t>
  </si>
  <si>
    <t>Andre finanskostnader</t>
  </si>
  <si>
    <t>Sun annen finanskostnad</t>
  </si>
  <si>
    <t>Resultat før skattekostnad</t>
  </si>
  <si>
    <t>Skattekostnad</t>
  </si>
  <si>
    <t>Årsresultat</t>
  </si>
  <si>
    <t>Til utbytte</t>
  </si>
  <si>
    <t>Balanseregnskap (i hele 1 000)</t>
  </si>
  <si>
    <t>Anleggsmidler</t>
  </si>
  <si>
    <t>Immaterielle eiendeler</t>
  </si>
  <si>
    <t>Sum anleggsmidler</t>
  </si>
  <si>
    <t>Omløpsmidler</t>
  </si>
  <si>
    <t>Kundefordringer</t>
  </si>
  <si>
    <t>Andre fordringer</t>
  </si>
  <si>
    <t>Kasse/bank/post</t>
  </si>
  <si>
    <t>Sum omløpsmidler</t>
  </si>
  <si>
    <t>Sum eiendeler</t>
  </si>
  <si>
    <t>Egenkapital og gjeld</t>
  </si>
  <si>
    <t xml:space="preserve">Egenkapital  </t>
  </si>
  <si>
    <t>Aksjekapital</t>
  </si>
  <si>
    <t>Sum opptjent egenkapital</t>
  </si>
  <si>
    <t>Sum egenkapital</t>
  </si>
  <si>
    <t>Gjeld</t>
  </si>
  <si>
    <t>Langsiktig gjeld</t>
  </si>
  <si>
    <t>Sum langsiktig gjeld</t>
  </si>
  <si>
    <t>Leverandørgjeld</t>
  </si>
  <si>
    <t>Skyldige offentlige avgifter</t>
  </si>
  <si>
    <t>Annen kortsiktig gjeld</t>
  </si>
  <si>
    <t>Sum kortsiktig gjeld</t>
  </si>
  <si>
    <t>Sum gjeld</t>
  </si>
  <si>
    <t>Sum egenkapital og gjeld</t>
  </si>
  <si>
    <t>Nøkkeltall</t>
  </si>
  <si>
    <t>Totalrentabilitet i %</t>
  </si>
  <si>
    <t>Resultat driften i %</t>
  </si>
  <si>
    <t>Egenkapitalens rentabilitet før skatt i %</t>
  </si>
  <si>
    <t>Likviditetsgrad 1</t>
  </si>
  <si>
    <t>Egenkapitalandel i %</t>
  </si>
  <si>
    <t>Andre driftsinntekter</t>
  </si>
  <si>
    <t>Sum finansielle anleggsmidler</t>
  </si>
  <si>
    <t>Konsernfordringer</t>
  </si>
  <si>
    <t>Sum varige driftsmidler</t>
  </si>
  <si>
    <t>Langsiktig konserngjeld</t>
  </si>
  <si>
    <t>Kortsiktig konserngjeld</t>
  </si>
  <si>
    <t>Gjeldsgrad</t>
  </si>
  <si>
    <t>Kapitalens omløpshastighet</t>
  </si>
  <si>
    <t>Resultatgrad i %</t>
  </si>
  <si>
    <t>a)</t>
  </si>
  <si>
    <t>Mor AS</t>
  </si>
  <si>
    <t>Datter AS</t>
  </si>
  <si>
    <t>Annen egenkapital</t>
  </si>
  <si>
    <t>Aksjer i Datter AS</t>
  </si>
  <si>
    <t>Omløpsaksjer</t>
  </si>
  <si>
    <t>Avskrivninger</t>
  </si>
  <si>
    <t>Merverdianalyse</t>
  </si>
  <si>
    <t>Totalt</t>
  </si>
  <si>
    <t>Merverdi varelager</t>
  </si>
  <si>
    <t>Anskaffelseskost aksjer</t>
  </si>
  <si>
    <t>Goodwill</t>
  </si>
  <si>
    <t>Tekst</t>
  </si>
  <si>
    <t>Antall</t>
  </si>
  <si>
    <t>Pris per stykk</t>
  </si>
  <si>
    <t>(omregnet til NOK)</t>
  </si>
  <si>
    <t>Sum</t>
  </si>
  <si>
    <t>Kjøp 12.2.2022</t>
  </si>
  <si>
    <t>Kjøp 20.7.2022</t>
  </si>
  <si>
    <t>Salg i løpet av 2022</t>
  </si>
  <si>
    <t>RL § 5-4 (1) - Anskaffelseskost inkluderer kjøpsutgifter</t>
  </si>
  <si>
    <t>RL § 5-2 - Laveste verdis prisnipp er pliktig å bruke</t>
  </si>
  <si>
    <t>Valutakurs på anskaffelsesdagen benyttes ved omregning til NOK</t>
  </si>
  <si>
    <t>RL § 5-5 - FIFO eller gjennomsnittskost kan velges</t>
  </si>
  <si>
    <t>b)</t>
  </si>
  <si>
    <t>IB varelager</t>
  </si>
  <si>
    <t>Sum varekjøp</t>
  </si>
  <si>
    <t>UB varelager (200+500+500-940) = 260</t>
  </si>
  <si>
    <t>UB varelager (260 *675,80</t>
  </si>
  <si>
    <t>Beholdningsendring</t>
  </si>
  <si>
    <t>Vareforbruk</t>
  </si>
  <si>
    <t>Bemerk at UB beregnes til verdien ved siste innkjøp 20.7.2022.</t>
  </si>
  <si>
    <t>Verdi 31.12. benyttes bare hvos denne er lavere (=LVP).</t>
  </si>
  <si>
    <t>c)</t>
  </si>
  <si>
    <t>RL § 5-2 - LVP er laveste verdi av anskaffelseskost og virkelig verdi.</t>
  </si>
  <si>
    <t>Virkelig verdi er salgspris minus salgskostnader.</t>
  </si>
  <si>
    <t>Virkelig verdi kan fastsettes ut fra kunnskap (hendelser) etter balansedagen.</t>
  </si>
  <si>
    <t>Faktisk oppnådd salgspris kan derfor leggess til grunn.</t>
  </si>
  <si>
    <t>UB varelager (260 * (220 - 22))</t>
  </si>
  <si>
    <t>Vareneholdning IB 1.1.2022</t>
  </si>
  <si>
    <t>Mars</t>
  </si>
  <si>
    <t>April</t>
  </si>
  <si>
    <t>Juni</t>
  </si>
  <si>
    <t>September</t>
  </si>
  <si>
    <t>Pris per aksje</t>
  </si>
  <si>
    <t>Kjøp/Salg</t>
  </si>
  <si>
    <t>Salg</t>
  </si>
  <si>
    <t>Kjøp</t>
  </si>
  <si>
    <t>Debet</t>
  </si>
  <si>
    <t>Kredit</t>
  </si>
  <si>
    <t>Saldo 1.1.18</t>
  </si>
  <si>
    <t>Netto resultateffekt for aksjer i 2022</t>
  </si>
  <si>
    <t>Saldo 31.12.22</t>
  </si>
  <si>
    <t xml:space="preserve">Kjøp </t>
  </si>
  <si>
    <t>Aksjer i to børsnoterte selskaper:</t>
  </si>
  <si>
    <t>Langsiktig aksjepost:</t>
  </si>
  <si>
    <t>Selskap</t>
  </si>
  <si>
    <t>Antall aksjer</t>
  </si>
  <si>
    <t>Pålydende</t>
  </si>
  <si>
    <t>per aksje</t>
  </si>
  <si>
    <t>Kostpris</t>
  </si>
  <si>
    <t>totalt</t>
  </si>
  <si>
    <t>Dato for</t>
  </si>
  <si>
    <t>kjøp</t>
  </si>
  <si>
    <t>Fix AS</t>
  </si>
  <si>
    <t xml:space="preserve">bestemmelsen skal anleggsmidler nedskrives til virkelig verdi dersom verdifallet ikke </t>
  </si>
  <si>
    <t>er forbigående.</t>
  </si>
  <si>
    <t xml:space="preserve">være en finanskostnad, og driftsresultatet vil dermed ikke bli påvirket av </t>
  </si>
  <si>
    <t>nedskrivningen. Resultat før skatt blir derimot påvirket negativt med kr 500 000</t>
  </si>
  <si>
    <t xml:space="preserve">Aksjeposten iFix AS er langsiktig, og skal vurderes etter RL § 5-3. Iflg denne </t>
  </si>
  <si>
    <t xml:space="preserve">Virkelig verdi for aksjene i Invest AS er 4 500 x 300 = 1 350 000. Aksjeposten må </t>
  </si>
  <si>
    <t>derfor nedskrives fra 1 500 000 til 1 350 000.</t>
  </si>
  <si>
    <t>BYGG A</t>
  </si>
  <si>
    <t>Balanseført verdi 31.12.21</t>
  </si>
  <si>
    <t>Nedskrivning 2021</t>
  </si>
  <si>
    <t>Anskaffelseskost</t>
  </si>
  <si>
    <t>Levetid</t>
  </si>
  <si>
    <t>År</t>
  </si>
  <si>
    <t>Reversering av nedskrivning</t>
  </si>
  <si>
    <t>Opprinnelig avskrivningstablå:</t>
  </si>
  <si>
    <t>IB</t>
  </si>
  <si>
    <t>UB</t>
  </si>
  <si>
    <t>Anskaffet i begynnelsen av januar 2012</t>
  </si>
  <si>
    <t>Nedskrivning</t>
  </si>
  <si>
    <t>Reversering</t>
  </si>
  <si>
    <t>Ordinære avskrivninger 2022</t>
  </si>
  <si>
    <t>Netto positiv effekt på resultatregnskapet</t>
  </si>
  <si>
    <t>Balanseverdi forreetningsbygg 31.12.22</t>
  </si>
  <si>
    <t>Prosjekt</t>
  </si>
  <si>
    <t>Anslått levetid</t>
  </si>
  <si>
    <t>Akkumulerte avskrivninger</t>
  </si>
  <si>
    <t>Direkte lønnskostnader</t>
  </si>
  <si>
    <t>Resultatregnskap 2022</t>
  </si>
  <si>
    <t>LU1</t>
  </si>
  <si>
    <t>Moderna</t>
  </si>
  <si>
    <t>Indirekte faste kostnader</t>
  </si>
  <si>
    <t>Årets balanseføring</t>
  </si>
  <si>
    <t>Akkumulert avskrivning</t>
  </si>
  <si>
    <t>Årets avskrivning</t>
  </si>
  <si>
    <t>Bokført verdi</t>
  </si>
  <si>
    <t>.Resultatregnskapet</t>
  </si>
  <si>
    <t>Lønnskostnad</t>
  </si>
  <si>
    <t>Avskrivning</t>
  </si>
  <si>
    <t>Sum kostnader</t>
  </si>
  <si>
    <t>Balansen</t>
  </si>
  <si>
    <t>Merverdi varige driftsmidler</t>
  </si>
  <si>
    <t xml:space="preserve"> -utsatt skatt (22 %)</t>
  </si>
  <si>
    <t>Substansverdi</t>
  </si>
  <si>
    <t>AS Mor</t>
  </si>
  <si>
    <t>AS Datter</t>
  </si>
  <si>
    <t>Elimineringer</t>
  </si>
  <si>
    <t>Konsern</t>
  </si>
  <si>
    <t>Andre anleggsmidler</t>
  </si>
  <si>
    <t>I elimineringskolonnene gjelder høyre kolonne minoriteten,</t>
  </si>
  <si>
    <t>mens venstre gjelder majoriteten.</t>
  </si>
  <si>
    <t>Minoritetsinteresser</t>
  </si>
  <si>
    <t>Utsatt skatt</t>
  </si>
  <si>
    <t>Annen gjeld</t>
  </si>
  <si>
    <t>Driftsinntekter</t>
  </si>
  <si>
    <t>Til minoritet</t>
  </si>
  <si>
    <t>Til majoritet</t>
  </si>
  <si>
    <t>Oppkjøpet</t>
  </si>
  <si>
    <t>Øvrige</t>
  </si>
  <si>
    <t>Internt salg fra Datter til Mor</t>
  </si>
  <si>
    <t>Avskrivning merverdier anlegg</t>
  </si>
  <si>
    <t>Oversikt</t>
  </si>
  <si>
    <t>Avskrivning goodwill: 602 : 5 =</t>
  </si>
  <si>
    <t>Meravskrivninger driftsmidler</t>
  </si>
  <si>
    <t>Avskrivning goodwill</t>
  </si>
  <si>
    <t>Kostnadsføring varelager</t>
  </si>
  <si>
    <t>Redusert utsatt skatt</t>
  </si>
  <si>
    <t>Merkostnader netto</t>
  </si>
  <si>
    <t>Nedgang utsatt skatt: 22 % av (75 + 250) =</t>
  </si>
  <si>
    <t>Fordeling majoritet og minoritet</t>
  </si>
  <si>
    <t>Majoritet</t>
  </si>
  <si>
    <t>Minoritet</t>
  </si>
  <si>
    <t>Deretter må vi beregne minoritetens andel av</t>
  </si>
  <si>
    <t>Resultat Mor</t>
  </si>
  <si>
    <t xml:space="preserve">datterselskapets overskudd. Først tar vi 40 % av 468, </t>
  </si>
  <si>
    <t>Resultat Datter</t>
  </si>
  <si>
    <t>dvs. 187,2.</t>
  </si>
  <si>
    <t xml:space="preserve">Så beregner vi minoritetens andel av korrigeringene, </t>
  </si>
  <si>
    <t>Avskrivning merverdi anlegg</t>
  </si>
  <si>
    <t>nemlig 40 % av 75 (meravskrivning) og 40 % av</t>
  </si>
  <si>
    <t>Merverdier varelager</t>
  </si>
  <si>
    <t>250 (merverdi varelager) = 30 + 100 = 130.</t>
  </si>
  <si>
    <t>Dette betyr redusert skatt med 28,6</t>
  </si>
  <si>
    <t>Kontroll:</t>
  </si>
  <si>
    <t>Utsatt skatt (22 %)</t>
  </si>
  <si>
    <t>Diverse anleggsmidler</t>
  </si>
  <si>
    <t>Avskrivning merverdier maskiner</t>
  </si>
  <si>
    <t>Reversering merverdier varelager</t>
  </si>
  <si>
    <t>Redusert utsatt skatt merverdier (gjelder ikke goodwill)</t>
  </si>
  <si>
    <t xml:space="preserve"> 22 % av (75 + 250)</t>
  </si>
  <si>
    <t>Til minoritetsinteresse</t>
  </si>
  <si>
    <t>Til majoritetsinteresse</t>
  </si>
  <si>
    <t>Fordeling til majoritet og minoritet</t>
  </si>
  <si>
    <t>Resultat i Mor A</t>
  </si>
  <si>
    <t xml:space="preserve">Resultat i Datter AS </t>
  </si>
  <si>
    <t>Avskrivning merverdier</t>
  </si>
  <si>
    <t>Konsernbalanse pr. 1.1.2022</t>
  </si>
  <si>
    <t>Merverdianalyse per 1.1.22</t>
  </si>
  <si>
    <t>Konsernregnskap 2022</t>
  </si>
  <si>
    <t>Balanse 31.12.2022</t>
  </si>
  <si>
    <t>Konsernbalanse pr. 1.1. 22</t>
  </si>
  <si>
    <r>
      <t xml:space="preserve">Oversikt over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korrigeringene som gjelder 2022</t>
    </r>
  </si>
  <si>
    <t>Majoritetens andel i 2022</t>
  </si>
  <si>
    <t>Balanse 1.1.22</t>
  </si>
  <si>
    <t>Annen egenkapital i konsernet 1.1.222</t>
  </si>
  <si>
    <t>Annen egenkapital i konsernet 31.12.2022</t>
  </si>
  <si>
    <t>Balanse per 1.1.2022</t>
  </si>
  <si>
    <t xml:space="preserve">Aksjer i AS Datter </t>
  </si>
  <si>
    <t>Resultatregnskap for 2022</t>
  </si>
  <si>
    <t>Varekostnader</t>
  </si>
  <si>
    <t xml:space="preserve">Totalkapitalavkastningen i prosent av driftsinntektene </t>
  </si>
  <si>
    <t>Driftsinntektene i forhold til gjennomsnittlig totalkapital</t>
  </si>
  <si>
    <t>Res. Føre skatt + rentekostnad)/gjennomsnittlig totalkapital</t>
  </si>
  <si>
    <t>Omløpsmidler/kortsiktig gjeld</t>
  </si>
  <si>
    <t>Resultat før skattekostnad/gjennomsnittlig egenkapital</t>
  </si>
  <si>
    <t>Driftsresultat/driftsinntekter</t>
  </si>
  <si>
    <t>Egenkapital/sum egenkapital og gjeld</t>
  </si>
  <si>
    <t>Sum gjeld/sum egenkapital</t>
  </si>
  <si>
    <t>Resultat før skattekostnad 2022</t>
  </si>
  <si>
    <t>Skatteprosent</t>
  </si>
  <si>
    <t>Endring</t>
  </si>
  <si>
    <t xml:space="preserve"> -Sv</t>
  </si>
  <si>
    <t>Skattepliktig inntekt 2022</t>
  </si>
  <si>
    <t>Betalbar skatt 2022</t>
  </si>
  <si>
    <t>Skattekostnad:</t>
  </si>
  <si>
    <t>Endring utsatt skatt</t>
  </si>
  <si>
    <t>d)</t>
  </si>
  <si>
    <t>Resultatgrad * kapitalens omløpshastoghet</t>
  </si>
  <si>
    <t>?</t>
  </si>
  <si>
    <t>Utsatt skatteforpliktelse 1.1.22</t>
  </si>
  <si>
    <t>Utsatt skatteforpliktelse 31.12.22</t>
  </si>
  <si>
    <t>Kostnadsført representasjon, ikke skattemessig fradrag for</t>
  </si>
  <si>
    <t>Betalbar skatt, ikke fastsatt for 2021</t>
  </si>
  <si>
    <t>Betalbar skatt, fastsatt for 2021</t>
  </si>
  <si>
    <t>Skjema midlertidige forskjeller</t>
  </si>
  <si>
    <t xml:space="preserve">Rv </t>
  </si>
  <si>
    <t>Skattepliktig resultat:</t>
  </si>
  <si>
    <t>Endring midlertidige forskjeller</t>
  </si>
  <si>
    <t>Permanent forskjell</t>
  </si>
  <si>
    <t>e)</t>
  </si>
  <si>
    <t>f)</t>
  </si>
  <si>
    <t>Skattekostnad 2022</t>
  </si>
  <si>
    <t>Skattebom 2021</t>
  </si>
  <si>
    <t>Betalbar skatt, fastsatt i 2022 for 2021</t>
  </si>
  <si>
    <t>Midlertidige forskjeller per 1.1.22</t>
  </si>
  <si>
    <t>Aksjer i Alfa ASA</t>
  </si>
  <si>
    <t>Aksjer i Beta ASA</t>
  </si>
  <si>
    <t>Kjøp av aksjer i Alfa ASA i mars 2022</t>
  </si>
  <si>
    <t>Kjøp av aksjer i Alfa ASA i april 2022</t>
  </si>
  <si>
    <t>Salgsssum for Aksjer i Alfa ASA i juni 2022</t>
  </si>
  <si>
    <t xml:space="preserve">Aksjene i Invest Beta ASAlir nedskrevet med 1 500 000 – 1 350 000 = 150 000. Dette vil </t>
  </si>
  <si>
    <t>Kjøp av aksjer i Beta ASA i april 2022</t>
  </si>
  <si>
    <t>Salgssum for aksjer i Beta ASA i juni 2022</t>
  </si>
  <si>
    <t>Kjøp av aksjer i Beta ASA i septmber 2022</t>
  </si>
  <si>
    <t>Direkte materialer</t>
  </si>
  <si>
    <t>Påløpte 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</si>
</sst>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#,##0_ ;\-#,##0\ "/>
    <numFmt numFmtId="167" formatCode="#,##0.0_ ;\-#,##0.0\ "/>
    <numFmt numFmtId="168" formatCode="_-* #,##0.0000_-;\-* #,##0.0000_-;_-* &quot;-&quot;??_-;_-@_-"/>
    <numFmt numFmtId="169" formatCode="0.0000"/>
    <numFmt numFmtId="170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164" fontId="0" fillId="0" borderId="1" xfId="1" applyNumberFormat="1" applyFont="1" applyBorder="1"/>
    <xf numFmtId="164" fontId="2" fillId="0" borderId="0" xfId="1" applyNumberFormat="1" applyFont="1"/>
    <xf numFmtId="164" fontId="0" fillId="0" borderId="0" xfId="1" applyNumberFormat="1" applyFont="1"/>
    <xf numFmtId="164" fontId="2" fillId="0" borderId="0" xfId="1" applyNumberFormat="1" applyFont="1" applyBorder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10" fontId="0" fillId="0" borderId="0" xfId="0" applyNumberFormat="1"/>
    <xf numFmtId="10" fontId="0" fillId="0" borderId="0" xfId="0" applyNumberFormat="1" applyAlignment="1">
      <alignment horizontal="right"/>
    </xf>
    <xf numFmtId="2" fontId="0" fillId="0" borderId="0" xfId="0" applyNumberFormat="1"/>
    <xf numFmtId="0" fontId="3" fillId="0" borderId="0" xfId="0" applyFont="1"/>
    <xf numFmtId="164" fontId="0" fillId="0" borderId="0" xfId="0" applyNumberFormat="1"/>
    <xf numFmtId="164" fontId="0" fillId="0" borderId="0" xfId="1" applyNumberFormat="1" applyFont="1" applyBorder="1"/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43" fontId="0" fillId="0" borderId="0" xfId="1" applyFont="1"/>
    <xf numFmtId="43" fontId="0" fillId="0" borderId="0" xfId="0" applyNumberFormat="1"/>
    <xf numFmtId="43" fontId="0" fillId="0" borderId="1" xfId="0" applyNumberFormat="1" applyBorder="1"/>
    <xf numFmtId="14" fontId="0" fillId="0" borderId="0" xfId="0" applyNumberFormat="1"/>
    <xf numFmtId="0" fontId="4" fillId="0" borderId="0" xfId="0" applyFont="1"/>
    <xf numFmtId="0" fontId="2" fillId="3" borderId="0" xfId="0" applyFont="1" applyFill="1"/>
    <xf numFmtId="164" fontId="0" fillId="3" borderId="0" xfId="1" applyNumberFormat="1" applyFont="1" applyFill="1"/>
    <xf numFmtId="0" fontId="2" fillId="4" borderId="0" xfId="0" applyFont="1" applyFill="1"/>
    <xf numFmtId="164" fontId="0" fillId="4" borderId="0" xfId="1" applyNumberFormat="1" applyFont="1" applyFill="1"/>
    <xf numFmtId="164" fontId="0" fillId="0" borderId="1" xfId="0" applyNumberFormat="1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3" xfId="1" applyNumberFormat="1" applyFont="1" applyBorder="1"/>
    <xf numFmtId="0" fontId="6" fillId="0" borderId="0" xfId="0" applyFont="1"/>
    <xf numFmtId="165" fontId="0" fillId="0" borderId="3" xfId="1" applyNumberFormat="1" applyFont="1" applyFill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7" xfId="0" applyBorder="1"/>
    <xf numFmtId="164" fontId="2" fillId="0" borderId="7" xfId="1" applyNumberFormat="1" applyFont="1" applyBorder="1"/>
    <xf numFmtId="164" fontId="0" fillId="0" borderId="8" xfId="1" applyNumberFormat="1" applyFont="1" applyBorder="1"/>
    <xf numFmtId="164" fontId="2" fillId="0" borderId="7" xfId="1" applyNumberFormat="1" applyFont="1" applyFill="1" applyBorder="1" applyAlignment="1">
      <alignment horizontal="center"/>
    </xf>
    <xf numFmtId="165" fontId="0" fillId="0" borderId="7" xfId="1" applyNumberFormat="1" applyFont="1" applyFill="1" applyBorder="1"/>
    <xf numFmtId="166" fontId="0" fillId="0" borderId="7" xfId="1" applyNumberFormat="1" applyFont="1" applyBorder="1"/>
    <xf numFmtId="167" fontId="0" fillId="0" borderId="0" xfId="1" applyNumberFormat="1" applyFont="1"/>
    <xf numFmtId="167" fontId="0" fillId="0" borderId="7" xfId="1" applyNumberFormat="1" applyFont="1" applyBorder="1"/>
    <xf numFmtId="165" fontId="0" fillId="0" borderId="7" xfId="1" applyNumberFormat="1" applyFont="1" applyBorder="1"/>
    <xf numFmtId="167" fontId="0" fillId="0" borderId="8" xfId="1" applyNumberFormat="1" applyFont="1" applyBorder="1"/>
    <xf numFmtId="0" fontId="7" fillId="0" borderId="0" xfId="0" applyFont="1"/>
    <xf numFmtId="0" fontId="0" fillId="0" borderId="4" xfId="0" applyBorder="1"/>
    <xf numFmtId="166" fontId="0" fillId="0" borderId="4" xfId="1" applyNumberFormat="1" applyFont="1" applyBorder="1"/>
    <xf numFmtId="165" fontId="0" fillId="0" borderId="4" xfId="1" applyNumberFormat="1" applyFont="1" applyBorder="1"/>
    <xf numFmtId="167" fontId="0" fillId="0" borderId="4" xfId="1" applyNumberFormat="1" applyFont="1" applyBorder="1"/>
    <xf numFmtId="165" fontId="0" fillId="0" borderId="0" xfId="0" applyNumberFormat="1"/>
    <xf numFmtId="9" fontId="0" fillId="0" borderId="0" xfId="2" applyFont="1"/>
    <xf numFmtId="168" fontId="0" fillId="0" borderId="0" xfId="0" applyNumberFormat="1"/>
    <xf numFmtId="165" fontId="0" fillId="0" borderId="9" xfId="1" applyNumberFormat="1" applyFont="1" applyBorder="1"/>
    <xf numFmtId="165" fontId="0" fillId="0" borderId="5" xfId="1" applyNumberFormat="1" applyFont="1" applyBorder="1"/>
    <xf numFmtId="165" fontId="0" fillId="0" borderId="10" xfId="1" applyNumberFormat="1" applyFont="1" applyBorder="1"/>
    <xf numFmtId="165" fontId="0" fillId="0" borderId="0" xfId="1" applyNumberFormat="1" applyFont="1" applyBorder="1"/>
    <xf numFmtId="165" fontId="0" fillId="0" borderId="8" xfId="1" applyNumberFormat="1" applyFont="1" applyBorder="1"/>
    <xf numFmtId="165" fontId="2" fillId="0" borderId="9" xfId="1" applyNumberFormat="1" applyFont="1" applyFill="1" applyBorder="1" applyAlignment="1">
      <alignment horizontal="center"/>
    </xf>
    <xf numFmtId="165" fontId="0" fillId="5" borderId="7" xfId="1" applyNumberFormat="1" applyFont="1" applyFill="1" applyBorder="1"/>
    <xf numFmtId="165" fontId="0" fillId="2" borderId="7" xfId="1" applyNumberFormat="1" applyFont="1" applyFill="1" applyBorder="1"/>
    <xf numFmtId="9" fontId="0" fillId="0" borderId="0" xfId="0" applyNumberFormat="1"/>
    <xf numFmtId="0" fontId="9" fillId="0" borderId="0" xfId="0" applyFont="1"/>
    <xf numFmtId="165" fontId="0" fillId="0" borderId="1" xfId="0" applyNumberFormat="1" applyBorder="1"/>
    <xf numFmtId="165" fontId="0" fillId="2" borderId="3" xfId="0" applyNumberFormat="1" applyFill="1" applyBorder="1"/>
    <xf numFmtId="3" fontId="2" fillId="0" borderId="0" xfId="0" applyNumberFormat="1" applyFont="1"/>
    <xf numFmtId="0" fontId="2" fillId="6" borderId="0" xfId="0" applyFont="1" applyFill="1"/>
    <xf numFmtId="165" fontId="0" fillId="6" borderId="0" xfId="0" applyNumberFormat="1" applyFill="1"/>
    <xf numFmtId="165" fontId="0" fillId="0" borderId="3" xfId="0" applyNumberFormat="1" applyBorder="1"/>
    <xf numFmtId="165" fontId="0" fillId="5" borderId="3" xfId="0" applyNumberFormat="1" applyFill="1" applyBorder="1"/>
    <xf numFmtId="0" fontId="5" fillId="0" borderId="0" xfId="0" applyFont="1"/>
    <xf numFmtId="9" fontId="2" fillId="0" borderId="0" xfId="2" applyFont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3" fontId="0" fillId="0" borderId="3" xfId="0" applyNumberForma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/>
    <xf numFmtId="165" fontId="2" fillId="0" borderId="7" xfId="1" applyNumberFormat="1" applyFont="1" applyBorder="1"/>
    <xf numFmtId="165" fontId="2" fillId="0" borderId="7" xfId="1" applyNumberFormat="1" applyFont="1" applyFill="1" applyBorder="1" applyAlignment="1">
      <alignment horizontal="center"/>
    </xf>
    <xf numFmtId="169" fontId="7" fillId="0" borderId="0" xfId="0" applyNumberFormat="1" applyFont="1"/>
    <xf numFmtId="170" fontId="0" fillId="2" borderId="0" xfId="1" applyNumberFormat="1" applyFont="1" applyFill="1"/>
    <xf numFmtId="170" fontId="0" fillId="0" borderId="0" xfId="1" applyNumberFormat="1" applyFont="1"/>
    <xf numFmtId="170" fontId="0" fillId="0" borderId="1" xfId="1" applyNumberFormat="1" applyFont="1" applyBorder="1"/>
    <xf numFmtId="165" fontId="0" fillId="0" borderId="4" xfId="0" applyNumberFormat="1" applyBorder="1"/>
    <xf numFmtId="170" fontId="0" fillId="0" borderId="0" xfId="0" applyNumberFormat="1"/>
    <xf numFmtId="9" fontId="2" fillId="0" borderId="0" xfId="0" applyNumberFormat="1" applyFont="1" applyAlignment="1">
      <alignment horizontal="center"/>
    </xf>
    <xf numFmtId="0" fontId="0" fillId="0" borderId="3" xfId="0" applyBorder="1"/>
    <xf numFmtId="167" fontId="0" fillId="0" borderId="3" xfId="1" applyNumberFormat="1" applyFont="1" applyBorder="1"/>
    <xf numFmtId="167" fontId="0" fillId="0" borderId="0" xfId="0" applyNumberFormat="1"/>
    <xf numFmtId="0" fontId="4" fillId="0" borderId="0" xfId="0" applyFont="1" applyAlignment="1">
      <alignment horizontal="center" vertical="center" wrapText="1"/>
    </xf>
    <xf numFmtId="164" fontId="2" fillId="0" borderId="3" xfId="1" applyNumberFormat="1" applyFont="1" applyBorder="1"/>
    <xf numFmtId="164" fontId="2" fillId="0" borderId="1" xfId="1" applyNumberFormat="1" applyFont="1" applyBorder="1"/>
    <xf numFmtId="14" fontId="2" fillId="0" borderId="0" xfId="0" applyNumberFormat="1" applyFont="1"/>
    <xf numFmtId="164" fontId="2" fillId="0" borderId="0" xfId="0" applyNumberFormat="1" applyFont="1"/>
    <xf numFmtId="164" fontId="2" fillId="0" borderId="0" xfId="1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0" fillId="0" borderId="0" xfId="1" applyNumberFormat="1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1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761999</xdr:colOff>
      <xdr:row>36</xdr:row>
      <xdr:rowOff>104775</xdr:rowOff>
    </xdr:from>
    <xdr:to>
      <xdr:col>12</xdr:col>
      <xdr:colOff>171449</xdr:colOff>
      <xdr:row>43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2922072-D1B2-4C61-B055-0383DBE0AB21}"/>
            </a:ext>
          </a:extLst>
        </xdr:cNvPr>
        <xdr:cNvSpPr txBox="1"/>
      </xdr:nvSpPr>
      <xdr:spPr>
        <a:xfrm>
          <a:off x="8039099" y="6871335"/>
          <a:ext cx="4118610" cy="1325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 internt varesalg er solgt ut av konsernet.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 internt varesalg er solgt ut av konsernet.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Internfortjenesten er derfor realisert for konsernet.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nb-NO">
            <a:effectLst/>
          </a:endParaRPr>
        </a:p>
        <a:p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Eliminering: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debet 500 salgsinntekt i D og kredit 500 varekostnad i M. Nettoeffekt på konsernresultat blir 0.  </a:t>
          </a:r>
          <a:endParaRPr lang="nb-NO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AAEE3-56D0-4ED9-B17D-C6A49AD72F97}">
  <dimension ref="A1:D6"/>
  <sheetViews>
    <sheetView workbookViewId="0">
      <selection activeCell="H16" sqref="H16"/>
    </sheetView>
  </sheetViews>
  <sheetFormatPr baseColWidth="10" defaultRowHeight="15" x14ac:dyDescent="0.25"/>
  <cols>
    <col min="1" max="1" width="24.28515625" bestFit="1" customWidth="1"/>
    <col min="2" max="2" width="7.7109375" bestFit="1" customWidth="1"/>
    <col min="3" max="3" width="16.28515625" bestFit="1" customWidth="1"/>
    <col min="4" max="4" width="12.7109375" bestFit="1" customWidth="1"/>
  </cols>
  <sheetData>
    <row r="1" spans="1:4" x14ac:dyDescent="0.25">
      <c r="A1" s="15" t="s">
        <v>69</v>
      </c>
      <c r="B1" s="15" t="s">
        <v>70</v>
      </c>
      <c r="C1" s="15" t="s">
        <v>71</v>
      </c>
      <c r="D1" s="15" t="s">
        <v>73</v>
      </c>
    </row>
    <row r="2" spans="1:4" x14ac:dyDescent="0.25">
      <c r="A2" s="15"/>
      <c r="B2" s="15"/>
      <c r="C2" s="15" t="s">
        <v>72</v>
      </c>
      <c r="D2" s="15"/>
    </row>
    <row r="3" spans="1:4" x14ac:dyDescent="0.25">
      <c r="A3" s="1" t="s">
        <v>96</v>
      </c>
      <c r="B3" s="4">
        <v>200</v>
      </c>
      <c r="C3" s="16">
        <v>504.4</v>
      </c>
      <c r="D3" s="16">
        <f>B3*C3</f>
        <v>100880</v>
      </c>
    </row>
    <row r="4" spans="1:4" x14ac:dyDescent="0.25">
      <c r="A4" s="1" t="s">
        <v>74</v>
      </c>
      <c r="B4" s="4">
        <v>500</v>
      </c>
      <c r="C4" s="16">
        <v>533</v>
      </c>
      <c r="D4" s="16">
        <f t="shared" ref="D4:D6" si="0">B4*C4</f>
        <v>266500</v>
      </c>
    </row>
    <row r="5" spans="1:4" x14ac:dyDescent="0.25">
      <c r="A5" s="1" t="s">
        <v>75</v>
      </c>
      <c r="B5" s="4">
        <v>500</v>
      </c>
      <c r="C5" s="16">
        <v>675.8</v>
      </c>
      <c r="D5" s="16">
        <f t="shared" si="0"/>
        <v>337900</v>
      </c>
    </row>
    <row r="6" spans="1:4" x14ac:dyDescent="0.25">
      <c r="A6" s="1" t="s">
        <v>76</v>
      </c>
      <c r="B6" s="4">
        <v>940</v>
      </c>
      <c r="C6" s="16">
        <v>1200</v>
      </c>
      <c r="D6" s="16">
        <f t="shared" si="0"/>
        <v>1128000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DA3F1-7555-42D0-A09F-4AF144E12E2B}">
  <dimension ref="A1:E6"/>
  <sheetViews>
    <sheetView workbookViewId="0">
      <selection activeCell="D3" sqref="D3"/>
    </sheetView>
  </sheetViews>
  <sheetFormatPr baseColWidth="10" defaultRowHeight="15" x14ac:dyDescent="0.25"/>
  <sheetData>
    <row r="1" spans="1:5" x14ac:dyDescent="0.25">
      <c r="A1" s="1" t="s">
        <v>129</v>
      </c>
    </row>
    <row r="2" spans="1:5" x14ac:dyDescent="0.25">
      <c r="A2" t="s">
        <v>130</v>
      </c>
      <c r="D2" s="4">
        <v>40000000</v>
      </c>
    </row>
    <row r="3" spans="1:5" x14ac:dyDescent="0.25">
      <c r="A3" t="s">
        <v>131</v>
      </c>
      <c r="D3" s="4">
        <v>10000000</v>
      </c>
    </row>
    <row r="4" spans="1:5" x14ac:dyDescent="0.25">
      <c r="A4" t="s">
        <v>132</v>
      </c>
      <c r="D4" s="4">
        <v>50000000</v>
      </c>
    </row>
    <row r="5" spans="1:5" x14ac:dyDescent="0.25">
      <c r="A5" t="s">
        <v>139</v>
      </c>
      <c r="D5" s="4"/>
    </row>
    <row r="6" spans="1:5" x14ac:dyDescent="0.25">
      <c r="A6" t="s">
        <v>133</v>
      </c>
      <c r="D6">
        <v>50</v>
      </c>
      <c r="E6" t="s">
        <v>134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C416B-016C-47C0-BCB4-233368AABF47}">
  <dimension ref="A1:L33"/>
  <sheetViews>
    <sheetView topLeftCell="A6" workbookViewId="0">
      <selection activeCell="G28" sqref="G28"/>
    </sheetView>
  </sheetViews>
  <sheetFormatPr baseColWidth="10" defaultRowHeight="15" x14ac:dyDescent="0.25"/>
  <cols>
    <col min="9" max="9" width="13.7109375" bestFit="1" customWidth="1"/>
    <col min="10" max="10" width="14.7109375" bestFit="1" customWidth="1"/>
    <col min="11" max="11" width="12.42578125" bestFit="1" customWidth="1"/>
    <col min="12" max="12" width="13.7109375" bestFit="1" customWidth="1"/>
  </cols>
  <sheetData>
    <row r="1" spans="1:5" x14ac:dyDescent="0.25">
      <c r="A1" s="1" t="s">
        <v>136</v>
      </c>
    </row>
    <row r="3" spans="1:5" x14ac:dyDescent="0.25">
      <c r="A3" s="1" t="s">
        <v>134</v>
      </c>
      <c r="B3" s="1" t="s">
        <v>137</v>
      </c>
      <c r="C3" s="1" t="s">
        <v>132</v>
      </c>
      <c r="D3" s="1" t="s">
        <v>63</v>
      </c>
      <c r="E3" s="1" t="s">
        <v>138</v>
      </c>
    </row>
    <row r="4" spans="1:5" x14ac:dyDescent="0.25">
      <c r="A4">
        <v>2012</v>
      </c>
      <c r="B4" s="4"/>
      <c r="C4" s="4">
        <f>'Oppgave 5'!D4</f>
        <v>50000000</v>
      </c>
      <c r="D4" s="4">
        <f>$C$4/'Oppgave 5'!$D$6</f>
        <v>1000000</v>
      </c>
      <c r="E4" s="4">
        <f>C4-D4</f>
        <v>49000000</v>
      </c>
    </row>
    <row r="5" spans="1:5" x14ac:dyDescent="0.25">
      <c r="A5">
        <v>2013</v>
      </c>
      <c r="B5" s="4">
        <f>E4</f>
        <v>49000000</v>
      </c>
      <c r="C5" s="4"/>
      <c r="D5" s="4">
        <f>$C$4/'Oppgave 5'!$D$6</f>
        <v>1000000</v>
      </c>
      <c r="E5" s="4">
        <f>B5-D5</f>
        <v>48000000</v>
      </c>
    </row>
    <row r="6" spans="1:5" x14ac:dyDescent="0.25">
      <c r="A6">
        <v>2014</v>
      </c>
      <c r="B6" s="4">
        <f t="shared" ref="B6:B14" si="0">E5</f>
        <v>48000000</v>
      </c>
      <c r="C6" s="4"/>
      <c r="D6" s="4">
        <f>$C$4/'Oppgave 5'!$D$6</f>
        <v>1000000</v>
      </c>
      <c r="E6" s="4">
        <f t="shared" ref="E6:E14" si="1">B6-D6</f>
        <v>47000000</v>
      </c>
    </row>
    <row r="7" spans="1:5" x14ac:dyDescent="0.25">
      <c r="A7">
        <v>2015</v>
      </c>
      <c r="B7" s="4">
        <f t="shared" si="0"/>
        <v>47000000</v>
      </c>
      <c r="C7" s="4"/>
      <c r="D7" s="4">
        <f>$C$4/'Oppgave 5'!$D$6</f>
        <v>1000000</v>
      </c>
      <c r="E7" s="4">
        <f t="shared" si="1"/>
        <v>46000000</v>
      </c>
    </row>
    <row r="8" spans="1:5" x14ac:dyDescent="0.25">
      <c r="A8">
        <v>2016</v>
      </c>
      <c r="B8" s="4">
        <f t="shared" si="0"/>
        <v>46000000</v>
      </c>
      <c r="C8" s="4"/>
      <c r="D8" s="4">
        <f>$C$4/'Oppgave 5'!$D$6</f>
        <v>1000000</v>
      </c>
      <c r="E8" s="4">
        <f t="shared" si="1"/>
        <v>45000000</v>
      </c>
    </row>
    <row r="9" spans="1:5" x14ac:dyDescent="0.25">
      <c r="A9">
        <v>2017</v>
      </c>
      <c r="B9" s="4">
        <f t="shared" si="0"/>
        <v>45000000</v>
      </c>
      <c r="C9" s="4"/>
      <c r="D9" s="4">
        <f>$C$4/'Oppgave 5'!$D$6</f>
        <v>1000000</v>
      </c>
      <c r="E9" s="4">
        <f t="shared" si="1"/>
        <v>44000000</v>
      </c>
    </row>
    <row r="10" spans="1:5" x14ac:dyDescent="0.25">
      <c r="A10">
        <v>2018</v>
      </c>
      <c r="B10" s="4">
        <f t="shared" si="0"/>
        <v>44000000</v>
      </c>
      <c r="C10" s="4"/>
      <c r="D10" s="4">
        <f>$C$4/'Oppgave 5'!$D$6</f>
        <v>1000000</v>
      </c>
      <c r="E10" s="4">
        <f t="shared" si="1"/>
        <v>43000000</v>
      </c>
    </row>
    <row r="11" spans="1:5" x14ac:dyDescent="0.25">
      <c r="A11">
        <v>2019</v>
      </c>
      <c r="B11" s="4">
        <f t="shared" si="0"/>
        <v>43000000</v>
      </c>
      <c r="C11" s="4"/>
      <c r="D11" s="4">
        <f>$C$4/'Oppgave 5'!$D$6</f>
        <v>1000000</v>
      </c>
      <c r="E11" s="4">
        <f t="shared" si="1"/>
        <v>42000000</v>
      </c>
    </row>
    <row r="12" spans="1:5" x14ac:dyDescent="0.25">
      <c r="A12">
        <v>2020</v>
      </c>
      <c r="B12" s="4">
        <f t="shared" si="0"/>
        <v>42000000</v>
      </c>
      <c r="C12" s="4"/>
      <c r="D12" s="4">
        <f>$C$4/'Oppgave 5'!$D$6</f>
        <v>1000000</v>
      </c>
      <c r="E12" s="4">
        <f t="shared" si="1"/>
        <v>41000000</v>
      </c>
    </row>
    <row r="13" spans="1:5" x14ac:dyDescent="0.25">
      <c r="A13">
        <v>2021</v>
      </c>
      <c r="B13" s="4">
        <f t="shared" si="0"/>
        <v>41000000</v>
      </c>
      <c r="C13" s="4"/>
      <c r="D13" s="4">
        <f>$C$4/'Oppgave 5'!$D$6</f>
        <v>1000000</v>
      </c>
      <c r="E13" s="4">
        <f t="shared" si="1"/>
        <v>40000000</v>
      </c>
    </row>
    <row r="14" spans="1:5" x14ac:dyDescent="0.25">
      <c r="A14">
        <v>2022</v>
      </c>
      <c r="B14" s="4">
        <f t="shared" si="0"/>
        <v>40000000</v>
      </c>
      <c r="C14" s="4"/>
      <c r="D14" s="4">
        <f>$C$4/'Oppgave 5'!$D$6</f>
        <v>1000000</v>
      </c>
      <c r="E14" s="4">
        <f t="shared" si="1"/>
        <v>39000000</v>
      </c>
    </row>
    <row r="17" spans="1:7" x14ac:dyDescent="0.25">
      <c r="A17" s="1" t="s">
        <v>134</v>
      </c>
      <c r="B17" s="1" t="s">
        <v>137</v>
      </c>
      <c r="C17" s="1" t="s">
        <v>132</v>
      </c>
      <c r="D17" s="1" t="s">
        <v>63</v>
      </c>
      <c r="E17" s="1" t="s">
        <v>140</v>
      </c>
      <c r="F17" s="1" t="s">
        <v>141</v>
      </c>
      <c r="G17" s="1" t="s">
        <v>138</v>
      </c>
    </row>
    <row r="18" spans="1:7" x14ac:dyDescent="0.25">
      <c r="A18">
        <v>2012</v>
      </c>
      <c r="B18" s="4"/>
      <c r="C18" s="4">
        <f>'Oppgave 5'!D4</f>
        <v>50000000</v>
      </c>
      <c r="D18" s="4">
        <f>$C$4/'Oppgave 5'!$D$6</f>
        <v>1000000</v>
      </c>
      <c r="E18" s="4"/>
      <c r="F18" s="4"/>
      <c r="G18" s="4">
        <f>C18-D18</f>
        <v>49000000</v>
      </c>
    </row>
    <row r="19" spans="1:7" x14ac:dyDescent="0.25">
      <c r="A19">
        <v>2013</v>
      </c>
      <c r="B19" s="4">
        <f>G18</f>
        <v>49000000</v>
      </c>
      <c r="C19" s="4"/>
      <c r="D19" s="4">
        <f>$C$4/'Oppgave 5'!$D$6</f>
        <v>1000000</v>
      </c>
      <c r="E19" s="4"/>
      <c r="F19" s="4"/>
      <c r="G19" s="4">
        <f t="shared" ref="G19:G26" si="2">B19-D19</f>
        <v>48000000</v>
      </c>
    </row>
    <row r="20" spans="1:7" x14ac:dyDescent="0.25">
      <c r="A20">
        <v>2014</v>
      </c>
      <c r="B20" s="4">
        <f t="shared" ref="B20:B28" si="3">G19</f>
        <v>48000000</v>
      </c>
      <c r="C20" s="4"/>
      <c r="D20" s="4">
        <f>$C$4/'Oppgave 5'!$D$6</f>
        <v>1000000</v>
      </c>
      <c r="E20" s="4"/>
      <c r="F20" s="4"/>
      <c r="G20" s="4">
        <f t="shared" si="2"/>
        <v>47000000</v>
      </c>
    </row>
    <row r="21" spans="1:7" x14ac:dyDescent="0.25">
      <c r="A21">
        <v>2015</v>
      </c>
      <c r="B21" s="4">
        <f t="shared" si="3"/>
        <v>47000000</v>
      </c>
      <c r="C21" s="4"/>
      <c r="D21" s="4">
        <f>$C$4/'Oppgave 5'!$D$6</f>
        <v>1000000</v>
      </c>
      <c r="E21" s="4"/>
      <c r="F21" s="4"/>
      <c r="G21" s="4">
        <f t="shared" si="2"/>
        <v>46000000</v>
      </c>
    </row>
    <row r="22" spans="1:7" x14ac:dyDescent="0.25">
      <c r="A22">
        <v>2016</v>
      </c>
      <c r="B22" s="4">
        <f t="shared" si="3"/>
        <v>46000000</v>
      </c>
      <c r="C22" s="4"/>
      <c r="D22" s="4">
        <f>$C$4/'Oppgave 5'!$D$6</f>
        <v>1000000</v>
      </c>
      <c r="E22" s="4"/>
      <c r="F22" s="4"/>
      <c r="G22" s="4">
        <f t="shared" si="2"/>
        <v>45000000</v>
      </c>
    </row>
    <row r="23" spans="1:7" x14ac:dyDescent="0.25">
      <c r="A23">
        <v>2017</v>
      </c>
      <c r="B23" s="4">
        <f t="shared" si="3"/>
        <v>45000000</v>
      </c>
      <c r="C23" s="4"/>
      <c r="D23" s="4">
        <f>$C$4/'Oppgave 5'!$D$6</f>
        <v>1000000</v>
      </c>
      <c r="E23" s="4"/>
      <c r="F23" s="4"/>
      <c r="G23" s="4">
        <f t="shared" si="2"/>
        <v>44000000</v>
      </c>
    </row>
    <row r="24" spans="1:7" x14ac:dyDescent="0.25">
      <c r="A24">
        <v>2018</v>
      </c>
      <c r="B24" s="4">
        <f t="shared" si="3"/>
        <v>44000000</v>
      </c>
      <c r="C24" s="4"/>
      <c r="D24" s="4">
        <f>$C$4/'Oppgave 5'!$D$6</f>
        <v>1000000</v>
      </c>
      <c r="E24" s="4"/>
      <c r="F24" s="4"/>
      <c r="G24" s="4">
        <f t="shared" si="2"/>
        <v>43000000</v>
      </c>
    </row>
    <row r="25" spans="1:7" x14ac:dyDescent="0.25">
      <c r="A25">
        <v>2019</v>
      </c>
      <c r="B25" s="4">
        <f t="shared" si="3"/>
        <v>43000000</v>
      </c>
      <c r="C25" s="4"/>
      <c r="D25" s="4">
        <f>$C$4/'Oppgave 5'!$D$6</f>
        <v>1000000</v>
      </c>
      <c r="E25" s="4"/>
      <c r="F25" s="4"/>
      <c r="G25" s="4">
        <f t="shared" si="2"/>
        <v>42000000</v>
      </c>
    </row>
    <row r="26" spans="1:7" x14ac:dyDescent="0.25">
      <c r="A26">
        <v>2020</v>
      </c>
      <c r="B26" s="4">
        <f t="shared" si="3"/>
        <v>42000000</v>
      </c>
      <c r="C26" s="4"/>
      <c r="D26" s="4">
        <f>$C$4/'Oppgave 5'!$D$6</f>
        <v>1000000</v>
      </c>
      <c r="E26" s="4"/>
      <c r="F26" s="4"/>
      <c r="G26" s="4">
        <f t="shared" si="2"/>
        <v>41000000</v>
      </c>
    </row>
    <row r="27" spans="1:7" x14ac:dyDescent="0.25">
      <c r="A27">
        <v>2021</v>
      </c>
      <c r="B27" s="4">
        <f t="shared" si="3"/>
        <v>41000000</v>
      </c>
      <c r="C27" s="4"/>
      <c r="D27" s="4">
        <f>$C$4/'Oppgave 5'!$D$6</f>
        <v>1000000</v>
      </c>
      <c r="E27" s="4">
        <f>'Oppgave 5'!D3</f>
        <v>10000000</v>
      </c>
      <c r="F27" s="4"/>
      <c r="G27" s="4">
        <f>B27-D27-E27</f>
        <v>30000000</v>
      </c>
    </row>
    <row r="28" spans="1:7" x14ac:dyDescent="0.25">
      <c r="A28">
        <v>2022</v>
      </c>
      <c r="B28" s="4">
        <f t="shared" si="3"/>
        <v>30000000</v>
      </c>
      <c r="C28" s="4"/>
      <c r="D28" s="4">
        <f>B28/40</f>
        <v>750000</v>
      </c>
      <c r="E28" s="4"/>
      <c r="F28" s="4">
        <f>E27-(D27-D28)</f>
        <v>9750000</v>
      </c>
      <c r="G28" s="4">
        <f>B28-D28+F28</f>
        <v>39000000</v>
      </c>
    </row>
    <row r="30" spans="1:7" x14ac:dyDescent="0.25">
      <c r="A30" t="s">
        <v>142</v>
      </c>
      <c r="E30" s="12">
        <f>D28</f>
        <v>750000</v>
      </c>
    </row>
    <row r="31" spans="1:7" x14ac:dyDescent="0.25">
      <c r="A31" t="s">
        <v>135</v>
      </c>
      <c r="E31" s="12">
        <f>F28</f>
        <v>9750000</v>
      </c>
    </row>
    <row r="32" spans="1:7" x14ac:dyDescent="0.25">
      <c r="A32" t="s">
        <v>143</v>
      </c>
      <c r="E32" s="12">
        <f>E31-E30</f>
        <v>9000000</v>
      </c>
    </row>
    <row r="33" spans="1:12" x14ac:dyDescent="0.25">
      <c r="A33" t="s">
        <v>144</v>
      </c>
      <c r="E33" s="12">
        <f>G28</f>
        <v>39000000</v>
      </c>
      <c r="L33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389A3-7398-480B-AC45-A323176A102D}">
  <dimension ref="A1:F8"/>
  <sheetViews>
    <sheetView workbookViewId="0">
      <selection activeCell="F5" sqref="F5"/>
    </sheetView>
  </sheetViews>
  <sheetFormatPr baseColWidth="10" defaultRowHeight="15" x14ac:dyDescent="0.25"/>
  <cols>
    <col min="1" max="1" width="22.28515625" bestFit="1" customWidth="1"/>
    <col min="2" max="2" width="13" bestFit="1" customWidth="1"/>
    <col min="3" max="3" width="16.42578125" bestFit="1" customWidth="1"/>
    <col min="4" max="4" width="23.7109375" bestFit="1" customWidth="1"/>
    <col min="5" max="5" width="19.85546875" bestFit="1" customWidth="1"/>
    <col min="6" max="6" width="16.140625" bestFit="1" customWidth="1"/>
  </cols>
  <sheetData>
    <row r="1" spans="1:6" x14ac:dyDescent="0.25">
      <c r="B1" s="112">
        <v>44561</v>
      </c>
      <c r="C1" s="113"/>
      <c r="D1" s="113"/>
      <c r="E1" s="114" t="s">
        <v>149</v>
      </c>
      <c r="F1" s="114"/>
    </row>
    <row r="2" spans="1:6" x14ac:dyDescent="0.25">
      <c r="A2" s="1" t="s">
        <v>145</v>
      </c>
      <c r="B2" s="21" t="s">
        <v>146</v>
      </c>
      <c r="C2" s="21" t="s">
        <v>276</v>
      </c>
      <c r="D2" s="21" t="s">
        <v>147</v>
      </c>
      <c r="E2" s="23" t="s">
        <v>148</v>
      </c>
      <c r="F2" s="23" t="s">
        <v>275</v>
      </c>
    </row>
    <row r="3" spans="1:6" x14ac:dyDescent="0.25">
      <c r="A3" s="1" t="s">
        <v>150</v>
      </c>
      <c r="B3" s="22">
        <v>5</v>
      </c>
      <c r="C3" s="22">
        <v>1000000</v>
      </c>
      <c r="D3" s="22">
        <v>800000</v>
      </c>
      <c r="E3" s="24">
        <v>30000</v>
      </c>
      <c r="F3" s="24">
        <v>20000</v>
      </c>
    </row>
    <row r="4" spans="1:6" x14ac:dyDescent="0.25">
      <c r="A4" s="1" t="s">
        <v>151</v>
      </c>
      <c r="B4" s="22">
        <v>5</v>
      </c>
      <c r="C4" s="22">
        <v>2000000</v>
      </c>
      <c r="D4" s="22">
        <v>0</v>
      </c>
      <c r="E4" s="24">
        <v>500000</v>
      </c>
      <c r="F4" s="24">
        <v>100000</v>
      </c>
    </row>
    <row r="6" spans="1:6" x14ac:dyDescent="0.25">
      <c r="A6" s="1" t="s">
        <v>152</v>
      </c>
      <c r="F6" s="8">
        <v>0.1</v>
      </c>
    </row>
    <row r="8" spans="1:6" x14ac:dyDescent="0.25">
      <c r="A8" s="1"/>
    </row>
  </sheetData>
  <mergeCells count="2">
    <mergeCell ref="B1:D1"/>
    <mergeCell ref="E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8400D-AB62-4ECC-AEBC-4A49403F81E5}">
  <dimension ref="A1:F12"/>
  <sheetViews>
    <sheetView workbookViewId="0">
      <selection activeCell="L16" sqref="L16"/>
    </sheetView>
  </sheetViews>
  <sheetFormatPr baseColWidth="10" defaultRowHeight="15" x14ac:dyDescent="0.25"/>
  <cols>
    <col min="2" max="2" width="17.28515625" bestFit="1" customWidth="1"/>
    <col min="3" max="3" width="16.42578125" bestFit="1" customWidth="1"/>
    <col min="4" max="4" width="21" bestFit="1" customWidth="1"/>
    <col min="5" max="5" width="15.28515625" bestFit="1" customWidth="1"/>
    <col min="6" max="6" width="12" bestFit="1" customWidth="1"/>
  </cols>
  <sheetData>
    <row r="1" spans="1:6" x14ac:dyDescent="0.25">
      <c r="A1" s="15"/>
      <c r="B1" s="1" t="s">
        <v>153</v>
      </c>
      <c r="C1" s="1" t="s">
        <v>276</v>
      </c>
      <c r="D1" s="1" t="s">
        <v>154</v>
      </c>
      <c r="E1" s="1" t="s">
        <v>155</v>
      </c>
      <c r="F1" s="1" t="s">
        <v>156</v>
      </c>
    </row>
    <row r="2" spans="1:6" x14ac:dyDescent="0.25">
      <c r="A2" s="1" t="s">
        <v>150</v>
      </c>
      <c r="B2" s="103"/>
      <c r="C2" s="103">
        <f>'Oppgave 6'!C3</f>
        <v>1000000</v>
      </c>
      <c r="D2" s="103">
        <f>'Oppgave 6'!D3</f>
        <v>800000</v>
      </c>
      <c r="E2" s="103">
        <f>C2/'Oppgave 6'!B3</f>
        <v>200000</v>
      </c>
      <c r="F2" s="103">
        <f>C2-D2-E2</f>
        <v>0</v>
      </c>
    </row>
    <row r="3" spans="1:6" x14ac:dyDescent="0.25">
      <c r="A3" s="1" t="s">
        <v>151</v>
      </c>
      <c r="B3" s="103">
        <f>'Oppgave 6'!E4+'Oppgave 6'!F4+'Oppgave 6'!E4*'Oppgave 6'!F6</f>
        <v>650000</v>
      </c>
      <c r="C3" s="103">
        <f>'Oppgave 6'!C4+'L_oppgave 6'!B3</f>
        <v>2650000</v>
      </c>
      <c r="D3" s="103">
        <v>0</v>
      </c>
      <c r="E3" s="103">
        <f>C3/'Oppgave 6'!B4/2</f>
        <v>265000</v>
      </c>
      <c r="F3" s="103">
        <f t="shared" ref="F3" si="0">C3-D3-E3</f>
        <v>2385000</v>
      </c>
    </row>
    <row r="4" spans="1:6" x14ac:dyDescent="0.25">
      <c r="B4" s="77"/>
      <c r="C4" s="77"/>
      <c r="D4" s="77"/>
      <c r="E4" s="77"/>
      <c r="F4" s="103"/>
    </row>
    <row r="5" spans="1:6" x14ac:dyDescent="0.25">
      <c r="A5" s="1" t="s">
        <v>157</v>
      </c>
      <c r="B5" s="77"/>
      <c r="C5" s="77"/>
      <c r="D5" s="77"/>
      <c r="E5" s="77"/>
      <c r="F5" s="77"/>
    </row>
    <row r="6" spans="1:6" x14ac:dyDescent="0.25">
      <c r="A6" t="s">
        <v>4</v>
      </c>
      <c r="B6" s="77"/>
      <c r="C6" s="77">
        <f>'Oppgave 6'!F3</f>
        <v>20000</v>
      </c>
      <c r="D6" s="77"/>
      <c r="E6" s="77"/>
      <c r="F6" s="77"/>
    </row>
    <row r="7" spans="1:6" x14ac:dyDescent="0.25">
      <c r="A7" t="s">
        <v>158</v>
      </c>
      <c r="B7" s="77"/>
      <c r="C7" s="77">
        <f>'Oppgave 6'!E3</f>
        <v>30000</v>
      </c>
      <c r="D7" s="77"/>
      <c r="E7" s="77"/>
      <c r="F7" s="77"/>
    </row>
    <row r="8" spans="1:6" x14ac:dyDescent="0.25">
      <c r="A8" t="s">
        <v>159</v>
      </c>
      <c r="B8" s="77"/>
      <c r="C8" s="78">
        <f>E2+E3</f>
        <v>465000</v>
      </c>
      <c r="D8" s="77"/>
      <c r="E8" s="77"/>
      <c r="F8" s="77"/>
    </row>
    <row r="9" spans="1:6" x14ac:dyDescent="0.25">
      <c r="A9" s="1" t="s">
        <v>160</v>
      </c>
      <c r="B9" s="70"/>
      <c r="C9" s="70">
        <f>SUM(C6:C8)</f>
        <v>515000</v>
      </c>
      <c r="D9" s="77"/>
      <c r="E9" s="77"/>
      <c r="F9" s="77"/>
    </row>
    <row r="10" spans="1:6" x14ac:dyDescent="0.25">
      <c r="B10" s="77"/>
      <c r="C10" s="77"/>
      <c r="D10" s="77"/>
      <c r="E10" s="77"/>
      <c r="F10" s="77"/>
    </row>
    <row r="11" spans="1:6" x14ac:dyDescent="0.25">
      <c r="A11" s="1" t="s">
        <v>161</v>
      </c>
      <c r="B11" s="77"/>
      <c r="C11" s="77"/>
      <c r="D11" s="77"/>
      <c r="E11" s="77"/>
      <c r="F11" s="77"/>
    </row>
    <row r="12" spans="1:6" x14ac:dyDescent="0.25">
      <c r="A12" t="s">
        <v>20</v>
      </c>
      <c r="B12" s="77"/>
      <c r="C12" s="77">
        <f>F3</f>
        <v>2385000</v>
      </c>
      <c r="D12" s="77"/>
      <c r="E12" s="77"/>
      <c r="F12" s="77"/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60F0A-BCD3-4F13-A101-38CF906DF125}">
  <dimension ref="A1:I64"/>
  <sheetViews>
    <sheetView topLeftCell="A51" workbookViewId="0">
      <selection activeCell="F61" sqref="F61"/>
    </sheetView>
  </sheetViews>
  <sheetFormatPr baseColWidth="10"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>
        <v>2021</v>
      </c>
      <c r="F2" s="1">
        <v>2020</v>
      </c>
      <c r="G2" s="1">
        <v>2019</v>
      </c>
      <c r="H2" s="1">
        <v>2018</v>
      </c>
      <c r="I2" s="1">
        <v>2017</v>
      </c>
    </row>
    <row r="3" spans="1:9" x14ac:dyDescent="0.25">
      <c r="A3" t="s">
        <v>2</v>
      </c>
      <c r="E3" s="13">
        <v>87505</v>
      </c>
      <c r="F3" s="13">
        <v>72547</v>
      </c>
      <c r="G3" s="13">
        <v>124187</v>
      </c>
      <c r="H3" s="13">
        <v>143939</v>
      </c>
      <c r="I3" s="13">
        <v>186959</v>
      </c>
    </row>
    <row r="4" spans="1:9" x14ac:dyDescent="0.25">
      <c r="A4" t="s">
        <v>48</v>
      </c>
      <c r="E4" s="2">
        <v>55562</v>
      </c>
      <c r="F4" s="2">
        <v>74048</v>
      </c>
      <c r="G4" s="2">
        <v>157571</v>
      </c>
      <c r="H4" s="2">
        <v>120556</v>
      </c>
      <c r="I4" s="2">
        <v>105835</v>
      </c>
    </row>
    <row r="5" spans="1:9" x14ac:dyDescent="0.25">
      <c r="A5" s="1" t="s">
        <v>3</v>
      </c>
      <c r="B5" s="1"/>
      <c r="C5" s="1"/>
      <c r="D5" s="1"/>
      <c r="E5" s="3">
        <f>SUM(E3:E4)</f>
        <v>143067</v>
      </c>
      <c r="F5" s="3">
        <f t="shared" ref="F5:I5" si="0">SUM(F3:F4)</f>
        <v>146595</v>
      </c>
      <c r="G5" s="3">
        <f t="shared" si="0"/>
        <v>281758</v>
      </c>
      <c r="H5" s="3">
        <f t="shared" si="0"/>
        <v>264495</v>
      </c>
      <c r="I5" s="3">
        <f t="shared" si="0"/>
        <v>292794</v>
      </c>
    </row>
    <row r="6" spans="1:9" x14ac:dyDescent="0.25">
      <c r="A6" t="s">
        <v>4</v>
      </c>
      <c r="E6" s="4">
        <v>30162</v>
      </c>
      <c r="F6" s="4">
        <v>25779</v>
      </c>
      <c r="G6" s="4">
        <v>67458</v>
      </c>
      <c r="H6" s="4">
        <v>68996</v>
      </c>
      <c r="I6" s="4">
        <v>65823</v>
      </c>
    </row>
    <row r="7" spans="1:9" x14ac:dyDescent="0.25">
      <c r="A7" t="s">
        <v>5</v>
      </c>
      <c r="E7" s="4">
        <v>98777</v>
      </c>
      <c r="F7" s="4">
        <v>92964</v>
      </c>
      <c r="G7" s="4">
        <v>143866</v>
      </c>
      <c r="H7" s="4">
        <v>148611</v>
      </c>
      <c r="I7" s="4">
        <v>130708</v>
      </c>
    </row>
    <row r="8" spans="1:9" x14ac:dyDescent="0.25">
      <c r="A8" t="s">
        <v>6</v>
      </c>
      <c r="E8" s="4">
        <v>27659</v>
      </c>
      <c r="F8" s="4">
        <v>42039</v>
      </c>
      <c r="G8" s="4">
        <v>36249</v>
      </c>
      <c r="H8" s="4">
        <v>34752</v>
      </c>
      <c r="I8" s="4">
        <v>27968</v>
      </c>
    </row>
    <row r="9" spans="1:9" x14ac:dyDescent="0.25">
      <c r="A9" t="s">
        <v>7</v>
      </c>
      <c r="E9" s="2">
        <v>25345</v>
      </c>
      <c r="F9" s="2">
        <v>19713</v>
      </c>
      <c r="G9" s="2">
        <v>28292</v>
      </c>
      <c r="H9" s="2">
        <v>32541</v>
      </c>
      <c r="I9" s="2">
        <v>27323</v>
      </c>
    </row>
    <row r="10" spans="1:9" x14ac:dyDescent="0.25">
      <c r="A10" s="1" t="s">
        <v>8</v>
      </c>
      <c r="B10" s="1"/>
      <c r="C10" s="1"/>
      <c r="D10" s="1"/>
      <c r="E10" s="3">
        <f>E5-E6-E7-E8-E9</f>
        <v>-38876</v>
      </c>
      <c r="F10" s="3">
        <f t="shared" ref="F10:I10" si="1">F5-F6-F7-F8-F9</f>
        <v>-33900</v>
      </c>
      <c r="G10" s="3">
        <f t="shared" si="1"/>
        <v>5893</v>
      </c>
      <c r="H10" s="3">
        <f t="shared" si="1"/>
        <v>-20405</v>
      </c>
      <c r="I10" s="3">
        <f t="shared" si="1"/>
        <v>40972</v>
      </c>
    </row>
    <row r="11" spans="1:9" x14ac:dyDescent="0.25">
      <c r="A11" t="s">
        <v>9</v>
      </c>
      <c r="E11" s="4">
        <v>43</v>
      </c>
      <c r="F11" s="4">
        <v>143</v>
      </c>
      <c r="G11" s="4">
        <v>236</v>
      </c>
      <c r="H11" s="4">
        <v>258</v>
      </c>
      <c r="I11" s="4">
        <v>386</v>
      </c>
    </row>
    <row r="12" spans="1:9" x14ac:dyDescent="0.25">
      <c r="A12" t="s">
        <v>10</v>
      </c>
      <c r="E12" s="2">
        <v>531</v>
      </c>
      <c r="F12" s="2">
        <v>506</v>
      </c>
      <c r="G12" s="2">
        <v>521</v>
      </c>
      <c r="H12" s="2">
        <v>817</v>
      </c>
      <c r="I12" s="2">
        <v>897</v>
      </c>
    </row>
    <row r="13" spans="1:9" x14ac:dyDescent="0.25">
      <c r="A13" s="1" t="s">
        <v>11</v>
      </c>
      <c r="B13" s="1"/>
      <c r="C13" s="1"/>
      <c r="D13" s="1"/>
      <c r="E13" s="3">
        <f>SUM(E11:E12)</f>
        <v>574</v>
      </c>
      <c r="F13" s="3">
        <f t="shared" ref="F13:I13" si="2">SUM(F11:F12)</f>
        <v>649</v>
      </c>
      <c r="G13" s="3">
        <f t="shared" si="2"/>
        <v>757</v>
      </c>
      <c r="H13" s="3">
        <f t="shared" si="2"/>
        <v>1075</v>
      </c>
      <c r="I13" s="3">
        <f t="shared" si="2"/>
        <v>1283</v>
      </c>
    </row>
    <row r="14" spans="1:9" x14ac:dyDescent="0.25">
      <c r="A14" t="s">
        <v>12</v>
      </c>
      <c r="E14" s="2">
        <v>752</v>
      </c>
      <c r="F14" s="2">
        <v>541</v>
      </c>
      <c r="G14" s="2">
        <v>745</v>
      </c>
      <c r="H14" s="2">
        <v>880</v>
      </c>
      <c r="I14" s="2">
        <v>1085</v>
      </c>
    </row>
    <row r="15" spans="1:9" x14ac:dyDescent="0.25">
      <c r="A15" s="1" t="s">
        <v>13</v>
      </c>
      <c r="B15" s="1"/>
      <c r="C15" s="1"/>
      <c r="D15" s="1"/>
      <c r="E15" s="5">
        <f>SUM(E14:E14)</f>
        <v>752</v>
      </c>
      <c r="F15" s="5">
        <f>SUM(F14:F14)</f>
        <v>541</v>
      </c>
      <c r="G15" s="5">
        <f>SUM(G14:G14)</f>
        <v>745</v>
      </c>
      <c r="H15" s="5">
        <f>SUM(H14:H14)</f>
        <v>880</v>
      </c>
      <c r="I15" s="5">
        <f>SUM(I14:I14)</f>
        <v>1085</v>
      </c>
    </row>
    <row r="16" spans="1:9" x14ac:dyDescent="0.25">
      <c r="A16" s="1" t="s">
        <v>14</v>
      </c>
      <c r="B16" s="1"/>
      <c r="C16" s="1"/>
      <c r="D16" s="1"/>
      <c r="E16" s="3">
        <f>E10+E13-E15</f>
        <v>-39054</v>
      </c>
      <c r="F16" s="3">
        <f>F10+F13-F15</f>
        <v>-33792</v>
      </c>
      <c r="G16" s="3">
        <f>G10+G13-G15</f>
        <v>5905</v>
      </c>
      <c r="H16" s="3">
        <f>H10+H13-H15</f>
        <v>-20210</v>
      </c>
      <c r="I16" s="3">
        <f>I10+I13-I15</f>
        <v>41170</v>
      </c>
    </row>
    <row r="17" spans="1:9" x14ac:dyDescent="0.25">
      <c r="A17" t="s">
        <v>15</v>
      </c>
      <c r="E17" s="2"/>
      <c r="F17" s="2"/>
      <c r="G17" s="2"/>
      <c r="H17" s="2"/>
      <c r="I17" s="2"/>
    </row>
    <row r="18" spans="1:9" x14ac:dyDescent="0.25">
      <c r="A18" s="1" t="s">
        <v>16</v>
      </c>
      <c r="B18" s="1"/>
      <c r="C18" s="1"/>
      <c r="D18" s="1"/>
      <c r="E18" s="3">
        <f>SUM(E16:E17)</f>
        <v>-39054</v>
      </c>
      <c r="F18" s="3">
        <f t="shared" ref="F18:I18" si="3">SUM(F16:F17)</f>
        <v>-33792</v>
      </c>
      <c r="G18" s="3">
        <f t="shared" si="3"/>
        <v>5905</v>
      </c>
      <c r="H18" s="3">
        <f t="shared" si="3"/>
        <v>-20210</v>
      </c>
      <c r="I18" s="3">
        <f t="shared" si="3"/>
        <v>41170</v>
      </c>
    </row>
    <row r="19" spans="1:9" x14ac:dyDescent="0.25">
      <c r="E19" s="4"/>
      <c r="F19" s="4"/>
      <c r="G19" s="4"/>
      <c r="H19" s="4"/>
      <c r="I19" s="4"/>
    </row>
    <row r="20" spans="1:9" x14ac:dyDescent="0.25">
      <c r="A20" t="s">
        <v>17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x14ac:dyDescent="0.25">
      <c r="E21" s="4"/>
      <c r="F21" s="4"/>
      <c r="G21" s="4"/>
      <c r="H21" s="4"/>
      <c r="I21" s="4"/>
    </row>
    <row r="22" spans="1:9" x14ac:dyDescent="0.25">
      <c r="A22" s="1" t="s">
        <v>18</v>
      </c>
      <c r="B22" s="1"/>
      <c r="C22" s="1"/>
      <c r="D22" s="1"/>
      <c r="E22" s="1">
        <v>2021</v>
      </c>
      <c r="F22" s="1">
        <v>2020</v>
      </c>
      <c r="G22" s="1">
        <v>2019</v>
      </c>
      <c r="H22" s="1">
        <v>2018</v>
      </c>
      <c r="I22" s="1">
        <v>2017</v>
      </c>
    </row>
    <row r="23" spans="1:9" x14ac:dyDescent="0.25">
      <c r="A23" s="1" t="s">
        <v>19</v>
      </c>
      <c r="B23" s="1"/>
      <c r="C23" s="1"/>
      <c r="D23" s="1"/>
      <c r="E23" s="3"/>
      <c r="F23" s="3"/>
      <c r="G23" s="3"/>
      <c r="H23" s="3"/>
      <c r="I23" s="3"/>
    </row>
    <row r="24" spans="1:9" x14ac:dyDescent="0.25">
      <c r="A24" t="s">
        <v>20</v>
      </c>
      <c r="B24" s="1"/>
      <c r="C24" s="1"/>
      <c r="D24" s="1"/>
      <c r="E24" s="4">
        <v>60490</v>
      </c>
      <c r="F24" s="4">
        <v>39804</v>
      </c>
      <c r="G24" s="4">
        <v>43858</v>
      </c>
      <c r="H24" s="4">
        <v>78830</v>
      </c>
      <c r="I24" s="4">
        <v>61702</v>
      </c>
    </row>
    <row r="25" spans="1:9" x14ac:dyDescent="0.25">
      <c r="A25" t="s">
        <v>51</v>
      </c>
      <c r="E25" s="13">
        <v>46624</v>
      </c>
      <c r="F25" s="13">
        <v>44499</v>
      </c>
      <c r="G25" s="13">
        <v>47502</v>
      </c>
      <c r="H25" s="13">
        <v>49679</v>
      </c>
      <c r="I25" s="13">
        <v>48358</v>
      </c>
    </row>
    <row r="26" spans="1:9" x14ac:dyDescent="0.25">
      <c r="A26" t="s">
        <v>49</v>
      </c>
      <c r="E26" s="13">
        <v>74778</v>
      </c>
      <c r="F26" s="13">
        <v>74748</v>
      </c>
      <c r="G26" s="13">
        <v>73426</v>
      </c>
      <c r="H26" s="13">
        <v>73425</v>
      </c>
      <c r="I26" s="13">
        <v>73388</v>
      </c>
    </row>
    <row r="27" spans="1:9" x14ac:dyDescent="0.25">
      <c r="A27" s="1" t="s">
        <v>21</v>
      </c>
      <c r="B27" s="1"/>
      <c r="C27" s="1"/>
      <c r="D27" s="1"/>
      <c r="E27" s="3">
        <f>SUM(E24:E26)</f>
        <v>181892</v>
      </c>
      <c r="F27" s="3">
        <f t="shared" ref="F27:I27" si="4">SUM(F24:F26)</f>
        <v>159051</v>
      </c>
      <c r="G27" s="3">
        <f t="shared" si="4"/>
        <v>164786</v>
      </c>
      <c r="H27" s="3">
        <f t="shared" si="4"/>
        <v>201934</v>
      </c>
      <c r="I27" s="3">
        <f t="shared" si="4"/>
        <v>183448</v>
      </c>
    </row>
    <row r="28" spans="1:9" x14ac:dyDescent="0.25">
      <c r="A28" s="1"/>
      <c r="B28" s="1"/>
      <c r="C28" s="1"/>
      <c r="D28" s="1"/>
      <c r="E28" s="3"/>
      <c r="F28" s="3"/>
      <c r="G28" s="3"/>
      <c r="H28" s="3"/>
      <c r="I28" s="3"/>
    </row>
    <row r="29" spans="1:9" x14ac:dyDescent="0.25">
      <c r="A29" s="1" t="s">
        <v>22</v>
      </c>
      <c r="B29" s="1"/>
      <c r="C29" s="1"/>
      <c r="D29" s="1"/>
      <c r="E29" s="3"/>
      <c r="F29" s="3"/>
      <c r="G29" s="3"/>
      <c r="H29" s="3"/>
      <c r="I29" s="3"/>
    </row>
    <row r="30" spans="1:9" x14ac:dyDescent="0.25">
      <c r="A30" t="s">
        <v>23</v>
      </c>
      <c r="E30" s="6">
        <v>5004</v>
      </c>
      <c r="F30" s="6">
        <v>5325</v>
      </c>
      <c r="G30" s="6">
        <v>57</v>
      </c>
      <c r="H30" s="6">
        <v>17470</v>
      </c>
      <c r="I30" s="6">
        <v>13460</v>
      </c>
    </row>
    <row r="31" spans="1:9" x14ac:dyDescent="0.25">
      <c r="A31" t="s">
        <v>50</v>
      </c>
      <c r="E31" s="6">
        <v>13</v>
      </c>
      <c r="F31" s="6">
        <v>3275</v>
      </c>
      <c r="G31" s="6">
        <v>4572</v>
      </c>
      <c r="H31" s="6">
        <v>6323</v>
      </c>
      <c r="I31" s="6">
        <v>3265</v>
      </c>
    </row>
    <row r="32" spans="1:9" x14ac:dyDescent="0.25">
      <c r="A32" t="s">
        <v>24</v>
      </c>
      <c r="E32" s="6">
        <v>20862</v>
      </c>
      <c r="F32" s="6">
        <v>36882</v>
      </c>
      <c r="G32" s="6">
        <v>43976</v>
      </c>
      <c r="H32" s="6">
        <v>20315</v>
      </c>
      <c r="I32" s="6">
        <v>38300</v>
      </c>
    </row>
    <row r="33" spans="1:9" x14ac:dyDescent="0.25">
      <c r="A33" t="s">
        <v>25</v>
      </c>
      <c r="E33" s="7">
        <v>8018</v>
      </c>
      <c r="F33" s="7">
        <v>23212</v>
      </c>
      <c r="G33" s="7">
        <v>58989</v>
      </c>
      <c r="H33" s="7">
        <v>36575</v>
      </c>
      <c r="I33" s="7">
        <v>67411</v>
      </c>
    </row>
    <row r="34" spans="1:9" x14ac:dyDescent="0.25">
      <c r="A34" s="1" t="s">
        <v>26</v>
      </c>
      <c r="B34" s="1"/>
      <c r="C34" s="1"/>
      <c r="D34" s="1"/>
      <c r="E34" s="3">
        <f>SUM(E30:E33)</f>
        <v>33897</v>
      </c>
      <c r="F34" s="3">
        <f>SUM(F30:F33)</f>
        <v>68694</v>
      </c>
      <c r="G34" s="3">
        <f>SUM(G30:G33)</f>
        <v>107594</v>
      </c>
      <c r="H34" s="3">
        <f>SUM(H30:H33)</f>
        <v>80683</v>
      </c>
      <c r="I34" s="3">
        <f>SUM(I30:I33)</f>
        <v>122436</v>
      </c>
    </row>
    <row r="35" spans="1:9" x14ac:dyDescent="0.25">
      <c r="A35" s="1" t="s">
        <v>27</v>
      </c>
      <c r="B35" s="1"/>
      <c r="C35" s="1"/>
      <c r="D35" s="1"/>
      <c r="E35" s="3">
        <f>E27+E34</f>
        <v>215789</v>
      </c>
      <c r="F35" s="3">
        <f>F27+F34</f>
        <v>227745</v>
      </c>
      <c r="G35" s="3">
        <f>G27+G34</f>
        <v>272380</v>
      </c>
      <c r="H35" s="3">
        <f>H27+H34</f>
        <v>282617</v>
      </c>
      <c r="I35" s="3">
        <f>I27+I34</f>
        <v>305884</v>
      </c>
    </row>
    <row r="36" spans="1:9" x14ac:dyDescent="0.25">
      <c r="A36" s="1"/>
      <c r="B36" s="1"/>
      <c r="C36" s="1"/>
      <c r="D36" s="1"/>
      <c r="E36" s="3"/>
      <c r="F36" s="3"/>
      <c r="G36" s="3"/>
      <c r="H36" s="3"/>
      <c r="I36" s="3"/>
    </row>
    <row r="37" spans="1:9" x14ac:dyDescent="0.25">
      <c r="A37" s="1" t="s">
        <v>28</v>
      </c>
      <c r="E37" s="4"/>
      <c r="F37" s="4"/>
      <c r="G37" s="4"/>
      <c r="H37" s="4"/>
      <c r="I37" s="4"/>
    </row>
    <row r="38" spans="1:9" x14ac:dyDescent="0.25">
      <c r="A38" s="1" t="s">
        <v>29</v>
      </c>
      <c r="E38" s="4"/>
      <c r="F38" s="4"/>
      <c r="G38" s="4"/>
      <c r="H38" s="4"/>
      <c r="I38" s="4"/>
    </row>
    <row r="39" spans="1:9" x14ac:dyDescent="0.25">
      <c r="A39" t="s">
        <v>30</v>
      </c>
      <c r="E39" s="4"/>
      <c r="F39" s="4"/>
      <c r="G39" s="4"/>
      <c r="H39" s="4"/>
      <c r="I39" s="4"/>
    </row>
    <row r="40" spans="1:9" x14ac:dyDescent="0.25">
      <c r="A40" t="s">
        <v>31</v>
      </c>
      <c r="E40" s="2">
        <v>113353</v>
      </c>
      <c r="F40" s="2">
        <v>152407</v>
      </c>
      <c r="G40" s="2">
        <v>186198</v>
      </c>
      <c r="H40" s="2">
        <v>180295</v>
      </c>
      <c r="I40" s="2">
        <v>200505</v>
      </c>
    </row>
    <row r="41" spans="1:9" x14ac:dyDescent="0.25">
      <c r="A41" s="1" t="s">
        <v>32</v>
      </c>
      <c r="B41" s="1"/>
      <c r="C41" s="1"/>
      <c r="D41" s="1"/>
      <c r="E41" s="3">
        <f>SUM(E39:E40)</f>
        <v>113353</v>
      </c>
      <c r="F41" s="3">
        <f>SUM(F39:F40)</f>
        <v>152407</v>
      </c>
      <c r="G41" s="3">
        <f>SUM(G39:G40)</f>
        <v>186198</v>
      </c>
      <c r="H41" s="3">
        <f>SUM(H39:H40)</f>
        <v>180295</v>
      </c>
      <c r="I41" s="3">
        <f>SUM(I39:I40)</f>
        <v>200505</v>
      </c>
    </row>
    <row r="42" spans="1:9" x14ac:dyDescent="0.25">
      <c r="A42" s="1"/>
      <c r="B42" s="1"/>
      <c r="C42" s="1"/>
      <c r="D42" s="1"/>
      <c r="E42" s="3"/>
      <c r="F42" s="3"/>
      <c r="G42" s="3"/>
      <c r="H42" s="3"/>
      <c r="I42" s="3"/>
    </row>
    <row r="43" spans="1:9" x14ac:dyDescent="0.25">
      <c r="A43" s="1" t="s">
        <v>33</v>
      </c>
      <c r="E43" s="4"/>
      <c r="F43" s="4"/>
      <c r="G43" s="4"/>
      <c r="H43" s="4"/>
      <c r="I43" s="4"/>
    </row>
    <row r="44" spans="1:9" x14ac:dyDescent="0.25">
      <c r="A44" t="s">
        <v>52</v>
      </c>
      <c r="E44" s="4">
        <v>0</v>
      </c>
      <c r="F44" s="4">
        <v>21000</v>
      </c>
      <c r="G44" s="4">
        <v>0</v>
      </c>
      <c r="H44" s="4">
        <v>0</v>
      </c>
      <c r="I44" s="4">
        <v>0</v>
      </c>
    </row>
    <row r="45" spans="1:9" x14ac:dyDescent="0.25">
      <c r="A45" t="s">
        <v>34</v>
      </c>
      <c r="E45" s="2">
        <v>34300</v>
      </c>
      <c r="F45" s="2">
        <v>7026</v>
      </c>
      <c r="G45" s="2">
        <v>8714</v>
      </c>
      <c r="H45" s="2">
        <v>10270</v>
      </c>
      <c r="I45" s="2">
        <v>12685</v>
      </c>
    </row>
    <row r="46" spans="1:9" x14ac:dyDescent="0.25">
      <c r="A46" s="1" t="s">
        <v>35</v>
      </c>
      <c r="B46" s="1"/>
      <c r="C46" s="1"/>
      <c r="D46" s="1"/>
      <c r="E46" s="3">
        <f>SUM(E44:E45)</f>
        <v>34300</v>
      </c>
      <c r="F46" s="3">
        <f t="shared" ref="F46:I46" si="5">SUM(F44:F45)</f>
        <v>28026</v>
      </c>
      <c r="G46" s="3">
        <f t="shared" si="5"/>
        <v>8714</v>
      </c>
      <c r="H46" s="3">
        <f t="shared" si="5"/>
        <v>10270</v>
      </c>
      <c r="I46" s="3">
        <f t="shared" si="5"/>
        <v>12685</v>
      </c>
    </row>
    <row r="47" spans="1:9" x14ac:dyDescent="0.25">
      <c r="E47" s="4"/>
      <c r="F47" s="4"/>
      <c r="G47" s="4"/>
      <c r="H47" s="4"/>
      <c r="I47" s="4"/>
    </row>
    <row r="48" spans="1:9" x14ac:dyDescent="0.25">
      <c r="A48" t="s">
        <v>36</v>
      </c>
      <c r="E48" s="4">
        <v>10734</v>
      </c>
      <c r="F48" s="4">
        <v>7169</v>
      </c>
      <c r="G48" s="4">
        <v>8356</v>
      </c>
      <c r="H48" s="4">
        <v>7975</v>
      </c>
      <c r="I48" s="4">
        <v>8744</v>
      </c>
    </row>
    <row r="49" spans="1:9" x14ac:dyDescent="0.25">
      <c r="A49" t="s">
        <v>37</v>
      </c>
      <c r="E49" s="4">
        <v>7667</v>
      </c>
      <c r="F49" s="4">
        <v>6983</v>
      </c>
      <c r="G49" s="4">
        <v>7934</v>
      </c>
      <c r="H49" s="4">
        <v>14102</v>
      </c>
      <c r="I49" s="4">
        <v>12935</v>
      </c>
    </row>
    <row r="50" spans="1:9" x14ac:dyDescent="0.25">
      <c r="A50" t="s">
        <v>53</v>
      </c>
      <c r="E50" s="13">
        <v>25825</v>
      </c>
      <c r="F50" s="13">
        <v>4541</v>
      </c>
      <c r="G50" s="13">
        <v>10109</v>
      </c>
      <c r="H50" s="13">
        <v>9436</v>
      </c>
      <c r="I50" s="13">
        <v>10529</v>
      </c>
    </row>
    <row r="51" spans="1:9" x14ac:dyDescent="0.25">
      <c r="A51" t="s">
        <v>38</v>
      </c>
      <c r="E51" s="2">
        <v>23910</v>
      </c>
      <c r="F51" s="2">
        <v>28619</v>
      </c>
      <c r="G51" s="2">
        <v>51069</v>
      </c>
      <c r="H51" s="2">
        <v>60539</v>
      </c>
      <c r="I51" s="2">
        <v>60486</v>
      </c>
    </row>
    <row r="52" spans="1:9" x14ac:dyDescent="0.25">
      <c r="A52" s="1" t="s">
        <v>39</v>
      </c>
      <c r="B52" s="1"/>
      <c r="C52" s="1"/>
      <c r="D52" s="1"/>
      <c r="E52" s="3">
        <f>SUM(E48:E51)</f>
        <v>68136</v>
      </c>
      <c r="F52" s="3">
        <f t="shared" ref="F52:I52" si="6">SUM(F48:F51)</f>
        <v>47312</v>
      </c>
      <c r="G52" s="3">
        <f t="shared" si="6"/>
        <v>77468</v>
      </c>
      <c r="H52" s="3">
        <f t="shared" si="6"/>
        <v>92052</v>
      </c>
      <c r="I52" s="3">
        <f t="shared" si="6"/>
        <v>92694</v>
      </c>
    </row>
    <row r="53" spans="1:9" x14ac:dyDescent="0.25">
      <c r="A53" s="1" t="s">
        <v>40</v>
      </c>
      <c r="B53" s="1"/>
      <c r="C53" s="1"/>
      <c r="D53" s="1"/>
      <c r="E53" s="3">
        <f>E46+E52</f>
        <v>102436</v>
      </c>
      <c r="F53" s="3">
        <f>F46+F52</f>
        <v>75338</v>
      </c>
      <c r="G53" s="3">
        <f>G46+G52</f>
        <v>86182</v>
      </c>
      <c r="H53" s="3">
        <f>H46+H52</f>
        <v>102322</v>
      </c>
      <c r="I53" s="3">
        <f>I46+I52</f>
        <v>105379</v>
      </c>
    </row>
    <row r="54" spans="1:9" x14ac:dyDescent="0.25">
      <c r="A54" s="1" t="s">
        <v>41</v>
      </c>
      <c r="B54" s="1"/>
      <c r="C54" s="1"/>
      <c r="D54" s="1"/>
      <c r="E54" s="3">
        <f>E41+E53</f>
        <v>215789</v>
      </c>
      <c r="F54" s="3">
        <f>F41+F53</f>
        <v>227745</v>
      </c>
      <c r="G54" s="3">
        <f>G41+G53</f>
        <v>272380</v>
      </c>
      <c r="H54" s="3">
        <f>H41+H53</f>
        <v>282617</v>
      </c>
      <c r="I54" s="3">
        <f>I41+I53</f>
        <v>305884</v>
      </c>
    </row>
    <row r="56" spans="1:9" x14ac:dyDescent="0.25">
      <c r="A56" s="11" t="s">
        <v>42</v>
      </c>
      <c r="E56" s="4"/>
      <c r="F56" s="4"/>
      <c r="G56" s="4"/>
      <c r="H56" s="4"/>
      <c r="I56" s="4"/>
    </row>
    <row r="57" spans="1:9" x14ac:dyDescent="0.25">
      <c r="A57" s="11" t="s">
        <v>43</v>
      </c>
      <c r="B57" s="1"/>
      <c r="C57" s="1"/>
      <c r="D57" s="1"/>
      <c r="E57" s="101" t="s">
        <v>249</v>
      </c>
      <c r="F57" s="8">
        <v>-0.13297075731067234</v>
      </c>
      <c r="G57" s="8">
        <v>2.3964093499604502E-2</v>
      </c>
      <c r="H57" s="8">
        <v>-6.5692326775995277E-2</v>
      </c>
      <c r="I57" s="8">
        <v>0.159</v>
      </c>
    </row>
    <row r="58" spans="1:9" x14ac:dyDescent="0.25">
      <c r="A58" s="11" t="s">
        <v>56</v>
      </c>
      <c r="E58" s="101" t="s">
        <v>249</v>
      </c>
      <c r="F58" s="8">
        <v>-0.22682219721000035</v>
      </c>
      <c r="G58" s="8">
        <v>2.3601814322929605E-2</v>
      </c>
      <c r="H58" s="8">
        <v>-7.308266696912985E-2</v>
      </c>
      <c r="I58" s="8">
        <v>0.14431648189512081</v>
      </c>
    </row>
    <row r="59" spans="1:9" x14ac:dyDescent="0.25">
      <c r="A59" s="1" t="s">
        <v>55</v>
      </c>
      <c r="E59" s="102" t="s">
        <v>249</v>
      </c>
      <c r="F59" s="10">
        <v>0.58623344163959012</v>
      </c>
      <c r="G59" s="10">
        <v>1.0153496325205362</v>
      </c>
      <c r="H59" s="10">
        <v>0.89887697726936744</v>
      </c>
      <c r="I59" s="14">
        <v>1.1000000000000001</v>
      </c>
    </row>
    <row r="60" spans="1:9" x14ac:dyDescent="0.25">
      <c r="A60" s="1" t="s">
        <v>44</v>
      </c>
      <c r="E60" s="101" t="s">
        <v>249</v>
      </c>
      <c r="F60" s="8">
        <v>-0.23124936048296327</v>
      </c>
      <c r="G60" s="8">
        <v>2.0915111549627694E-2</v>
      </c>
      <c r="H60" s="8">
        <v>-7.7147016011644837E-2</v>
      </c>
      <c r="I60" s="8">
        <v>0.22900000000000001</v>
      </c>
    </row>
    <row r="61" spans="1:9" x14ac:dyDescent="0.25">
      <c r="A61" s="1" t="s">
        <v>45</v>
      </c>
      <c r="E61" s="101" t="s">
        <v>249</v>
      </c>
      <c r="F61" s="8">
        <v>-0.19959539876847654</v>
      </c>
      <c r="G61" s="8">
        <v>3.2224353534719627E-2</v>
      </c>
      <c r="H61" s="8">
        <v>-0.10614495798319327</v>
      </c>
      <c r="I61" s="9">
        <v>0.22900000000000001</v>
      </c>
    </row>
    <row r="62" spans="1:9" x14ac:dyDescent="0.25">
      <c r="A62" s="1" t="s">
        <v>46</v>
      </c>
      <c r="E62" s="102" t="s">
        <v>249</v>
      </c>
      <c r="F62" s="10">
        <v>1.451936083868786</v>
      </c>
      <c r="G62" s="10">
        <v>1.3888831517529818</v>
      </c>
      <c r="H62" s="10">
        <v>0.87649372094033806</v>
      </c>
      <c r="I62" s="10">
        <v>1.32086219172762</v>
      </c>
    </row>
    <row r="63" spans="1:9" x14ac:dyDescent="0.25">
      <c r="A63" s="1" t="s">
        <v>47</v>
      </c>
      <c r="E63" s="101" t="s">
        <v>249</v>
      </c>
      <c r="F63" s="8">
        <v>0.66920020198028496</v>
      </c>
      <c r="G63" s="8">
        <v>0.68359644614142012</v>
      </c>
      <c r="H63" s="8">
        <v>0.63794817721510033</v>
      </c>
      <c r="I63" s="8">
        <v>0.65549358580376871</v>
      </c>
    </row>
    <row r="64" spans="1:9" x14ac:dyDescent="0.25">
      <c r="A64" s="1" t="s">
        <v>54</v>
      </c>
      <c r="E64" s="102" t="s">
        <v>249</v>
      </c>
      <c r="F64" s="10">
        <v>0.49432112698235647</v>
      </c>
      <c r="G64" s="10">
        <v>0.46285137326931547</v>
      </c>
      <c r="H64" s="10">
        <v>0.56752544441054942</v>
      </c>
      <c r="I64" s="10">
        <v>0.52556794094910353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26939-7EFC-47D6-9F00-B33408678BA7}">
  <dimension ref="A1:Q60"/>
  <sheetViews>
    <sheetView tabSelected="1" workbookViewId="0">
      <selection activeCell="I19" sqref="I19"/>
    </sheetView>
  </sheetViews>
  <sheetFormatPr baseColWidth="10" defaultRowHeight="15" x14ac:dyDescent="0.25"/>
  <cols>
    <col min="5" max="5" width="13" bestFit="1" customWidth="1"/>
  </cols>
  <sheetData>
    <row r="1" spans="1:9" x14ac:dyDescent="0.25">
      <c r="A1" s="1" t="s">
        <v>57</v>
      </c>
    </row>
    <row r="2" spans="1:9" x14ac:dyDescent="0.25">
      <c r="A2" s="1" t="s">
        <v>42</v>
      </c>
      <c r="E2" s="15">
        <v>2021</v>
      </c>
    </row>
    <row r="3" spans="1:9" x14ac:dyDescent="0.25">
      <c r="A3" s="1" t="s">
        <v>43</v>
      </c>
      <c r="E3" s="8">
        <f>('Oppgave 7'!E18+'Oppgave 7'!E14)/(('Oppgave 7'!E35+'Oppgave 7'!F35)/2)</f>
        <v>-0.172712802175256</v>
      </c>
      <c r="F3" s="8"/>
      <c r="G3" s="8" t="s">
        <v>233</v>
      </c>
      <c r="H3" s="8"/>
      <c r="I3" s="8"/>
    </row>
    <row r="4" spans="1:9" x14ac:dyDescent="0.25">
      <c r="A4" s="1" t="s">
        <v>56</v>
      </c>
      <c r="E4" s="8">
        <f>('Oppgave 7'!E18+'Oppgave 7'!E14)/'Oppgave 7'!E5</f>
        <v>-0.26772071826486893</v>
      </c>
      <c r="F4" s="8"/>
      <c r="G4" s="8" t="s">
        <v>231</v>
      </c>
      <c r="H4" s="8"/>
      <c r="I4" s="8"/>
    </row>
    <row r="5" spans="1:9" x14ac:dyDescent="0.25">
      <c r="A5" s="1" t="s">
        <v>55</v>
      </c>
      <c r="E5" s="10">
        <f>'Oppgave 7'!E5/(('Oppgave 7'!E35+'Oppgave 7'!F35)/2)</f>
        <v>0.64512303453624753</v>
      </c>
      <c r="F5" s="10"/>
      <c r="G5" s="10" t="s">
        <v>232</v>
      </c>
      <c r="H5" s="10"/>
      <c r="I5" s="14"/>
    </row>
    <row r="6" spans="1:9" x14ac:dyDescent="0.25">
      <c r="A6" s="1" t="s">
        <v>44</v>
      </c>
      <c r="E6" s="8">
        <f>'Oppgave 7'!E10/'Oppgave 7'!E5</f>
        <v>-0.27173282448083763</v>
      </c>
      <c r="F6" s="8"/>
      <c r="G6" s="8" t="s">
        <v>236</v>
      </c>
      <c r="H6" s="8"/>
      <c r="I6" s="8"/>
    </row>
    <row r="7" spans="1:9" x14ac:dyDescent="0.25">
      <c r="A7" s="1" t="s">
        <v>45</v>
      </c>
      <c r="E7" s="8">
        <f>'Oppgave 7'!E16/(('Oppgave 7'!E41+'Oppgave 7'!F41)/2)</f>
        <v>-0.29390427453341361</v>
      </c>
      <c r="F7" s="8"/>
      <c r="G7" s="8" t="s">
        <v>235</v>
      </c>
      <c r="H7" s="8"/>
      <c r="I7" s="9"/>
    </row>
    <row r="8" spans="1:9" x14ac:dyDescent="0.25">
      <c r="A8" s="1" t="s">
        <v>46</v>
      </c>
      <c r="E8" s="10">
        <f>'Oppgave 7'!E34/'Oppgave 7'!E52</f>
        <v>0.49749031349066575</v>
      </c>
      <c r="F8" s="10"/>
      <c r="G8" s="10" t="s">
        <v>234</v>
      </c>
      <c r="H8" s="10"/>
      <c r="I8" s="10"/>
    </row>
    <row r="9" spans="1:9" x14ac:dyDescent="0.25">
      <c r="A9" s="1" t="s">
        <v>47</v>
      </c>
      <c r="E9" s="8">
        <f>'Oppgave 7'!E41/'Oppgave 7'!E54</f>
        <v>0.52529554333168049</v>
      </c>
      <c r="F9" s="8"/>
      <c r="G9" s="8" t="s">
        <v>237</v>
      </c>
      <c r="H9" s="8"/>
      <c r="I9" s="8"/>
    </row>
    <row r="10" spans="1:9" x14ac:dyDescent="0.25">
      <c r="A10" s="1" t="s">
        <v>54</v>
      </c>
      <c r="E10" s="10">
        <f>'Oppgave 7'!E53/'Oppgave 7'!E41</f>
        <v>0.90369024198741987</v>
      </c>
      <c r="F10" s="10"/>
      <c r="G10" s="10" t="s">
        <v>238</v>
      </c>
      <c r="H10" s="10"/>
      <c r="I10" s="10"/>
    </row>
    <row r="11" spans="1:9" x14ac:dyDescent="0.25">
      <c r="A11" s="1"/>
      <c r="E11" s="8"/>
      <c r="F11" s="8"/>
      <c r="G11" s="8"/>
      <c r="H11" s="8"/>
      <c r="I11" s="8"/>
    </row>
    <row r="12" spans="1:9" x14ac:dyDescent="0.25">
      <c r="A12" s="11" t="s">
        <v>90</v>
      </c>
      <c r="E12" s="4"/>
      <c r="F12" s="4"/>
      <c r="G12" s="4"/>
      <c r="H12" s="4"/>
      <c r="I12" s="4"/>
    </row>
    <row r="13" spans="1:9" x14ac:dyDescent="0.25">
      <c r="A13" s="11"/>
      <c r="E13" s="100">
        <v>2021</v>
      </c>
      <c r="F13" s="100">
        <v>2020</v>
      </c>
      <c r="G13" s="100">
        <v>2019</v>
      </c>
      <c r="H13" s="100">
        <v>2018</v>
      </c>
      <c r="I13" s="100">
        <v>2017</v>
      </c>
    </row>
    <row r="14" spans="1:9" x14ac:dyDescent="0.25">
      <c r="A14" s="11" t="s">
        <v>248</v>
      </c>
      <c r="B14" s="1"/>
      <c r="C14" s="1"/>
      <c r="D14" s="1"/>
      <c r="E14" s="8">
        <f>E4*E5</f>
        <v>-0.17271280217525603</v>
      </c>
      <c r="F14" s="8">
        <f>'Oppgave 7'!F58*'Oppgave 7'!F59</f>
        <v>-0.13297075731067234</v>
      </c>
      <c r="G14" s="8">
        <f>'Oppgave 7'!G58*'Oppgave 7'!G59</f>
        <v>2.3964093499604502E-2</v>
      </c>
      <c r="H14" s="8">
        <f>'Oppgave 7'!H58*'Oppgave 7'!H59</f>
        <v>-6.5692326775995277E-2</v>
      </c>
      <c r="I14" s="8">
        <f>'Oppgave 7'!I58*'Oppgave 7'!I59</f>
        <v>0.1587481300846329</v>
      </c>
    </row>
    <row r="15" spans="1:9" x14ac:dyDescent="0.25">
      <c r="A15" s="11"/>
      <c r="E15" s="8"/>
      <c r="F15" s="8"/>
      <c r="G15" s="8"/>
      <c r="H15" s="8"/>
      <c r="I15" s="8"/>
    </row>
    <row r="59" spans="12:17" x14ac:dyDescent="0.25">
      <c r="L59" s="8"/>
      <c r="M59" s="8"/>
      <c r="N59" s="8"/>
      <c r="O59" s="8"/>
      <c r="P59" s="8"/>
    </row>
    <row r="60" spans="12:17" x14ac:dyDescent="0.25">
      <c r="L60" s="8"/>
      <c r="M60" s="8"/>
      <c r="N60" s="8"/>
      <c r="O60" s="8"/>
      <c r="P60" s="8"/>
      <c r="Q60" s="8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DA9A9-D5A1-47B7-860C-31789A92E703}">
  <dimension ref="A1:E26"/>
  <sheetViews>
    <sheetView workbookViewId="0">
      <selection activeCell="K26" sqref="K26"/>
    </sheetView>
  </sheetViews>
  <sheetFormatPr baseColWidth="10" defaultRowHeight="15" x14ac:dyDescent="0.25"/>
  <sheetData>
    <row r="1" spans="1:5" x14ac:dyDescent="0.25">
      <c r="A1" s="1" t="s">
        <v>57</v>
      </c>
    </row>
    <row r="2" spans="1:5" x14ac:dyDescent="0.25">
      <c r="A2" t="s">
        <v>78</v>
      </c>
    </row>
    <row r="3" spans="1:5" x14ac:dyDescent="0.25">
      <c r="A3" t="s">
        <v>77</v>
      </c>
    </row>
    <row r="4" spans="1:5" x14ac:dyDescent="0.25">
      <c r="A4" t="s">
        <v>79</v>
      </c>
    </row>
    <row r="5" spans="1:5" x14ac:dyDescent="0.25">
      <c r="A5" t="s">
        <v>80</v>
      </c>
    </row>
    <row r="7" spans="1:5" x14ac:dyDescent="0.25">
      <c r="A7" s="1" t="s">
        <v>81</v>
      </c>
    </row>
    <row r="8" spans="1:5" x14ac:dyDescent="0.25">
      <c r="A8" t="s">
        <v>82</v>
      </c>
      <c r="E8" s="17">
        <f>'Oppgave 1'!D3</f>
        <v>100880</v>
      </c>
    </row>
    <row r="9" spans="1:5" x14ac:dyDescent="0.25">
      <c r="A9" t="s">
        <v>74</v>
      </c>
      <c r="D9" s="17">
        <f>'Oppgave 1'!D4</f>
        <v>266500</v>
      </c>
    </row>
    <row r="10" spans="1:5" x14ac:dyDescent="0.25">
      <c r="A10" t="s">
        <v>75</v>
      </c>
      <c r="D10" s="18">
        <f>'Oppgave 1'!D5</f>
        <v>337900</v>
      </c>
    </row>
    <row r="11" spans="1:5" x14ac:dyDescent="0.25">
      <c r="A11" t="s">
        <v>83</v>
      </c>
      <c r="D11" s="17">
        <f>SUM(D9:D10)</f>
        <v>604400</v>
      </c>
    </row>
    <row r="12" spans="1:5" x14ac:dyDescent="0.25">
      <c r="A12" t="s">
        <v>84</v>
      </c>
    </row>
    <row r="13" spans="1:5" x14ac:dyDescent="0.25">
      <c r="A13" t="s">
        <v>85</v>
      </c>
      <c r="E13" s="17">
        <f>260*'Oppgave 1'!C5</f>
        <v>175708</v>
      </c>
    </row>
    <row r="14" spans="1:5" x14ac:dyDescent="0.25">
      <c r="A14" t="s">
        <v>86</v>
      </c>
      <c r="D14" s="18">
        <f>E8-E13</f>
        <v>-74828</v>
      </c>
    </row>
    <row r="15" spans="1:5" x14ac:dyDescent="0.25">
      <c r="A15" t="s">
        <v>87</v>
      </c>
      <c r="D15" s="17">
        <f>SUM(D11:D14)</f>
        <v>529572</v>
      </c>
    </row>
    <row r="17" spans="1:5" x14ac:dyDescent="0.25">
      <c r="A17" t="s">
        <v>88</v>
      </c>
    </row>
    <row r="18" spans="1:5" x14ac:dyDescent="0.25">
      <c r="A18" t="s">
        <v>89</v>
      </c>
    </row>
    <row r="20" spans="1:5" x14ac:dyDescent="0.25">
      <c r="A20" s="1" t="s">
        <v>90</v>
      </c>
    </row>
    <row r="21" spans="1:5" x14ac:dyDescent="0.25">
      <c r="A21" t="s">
        <v>91</v>
      </c>
    </row>
    <row r="22" spans="1:5" x14ac:dyDescent="0.25">
      <c r="A22" t="s">
        <v>92</v>
      </c>
    </row>
    <row r="23" spans="1:5" x14ac:dyDescent="0.25">
      <c r="A23" t="s">
        <v>93</v>
      </c>
    </row>
    <row r="24" spans="1:5" x14ac:dyDescent="0.25">
      <c r="A24" t="s">
        <v>94</v>
      </c>
    </row>
    <row r="26" spans="1:5" x14ac:dyDescent="0.25">
      <c r="A26" t="s">
        <v>95</v>
      </c>
      <c r="E26" s="17">
        <f>260*(220-22)</f>
        <v>51480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21284-32DE-4394-B307-B0BFCE923C13}">
  <dimension ref="A1:B9"/>
  <sheetViews>
    <sheetView workbookViewId="0">
      <selection activeCell="A4" sqref="A4"/>
    </sheetView>
  </sheetViews>
  <sheetFormatPr baseColWidth="10" defaultRowHeight="15" x14ac:dyDescent="0.25"/>
  <cols>
    <col min="1" max="1" width="59.7109375" bestFit="1" customWidth="1"/>
  </cols>
  <sheetData>
    <row r="1" spans="1:2" x14ac:dyDescent="0.25">
      <c r="A1" t="s">
        <v>239</v>
      </c>
      <c r="B1" s="77">
        <v>600000</v>
      </c>
    </row>
    <row r="2" spans="1:2" x14ac:dyDescent="0.25">
      <c r="A2" t="s">
        <v>265</v>
      </c>
      <c r="B2" s="77">
        <v>2000000</v>
      </c>
    </row>
    <row r="3" spans="1:2" x14ac:dyDescent="0.25">
      <c r="A3" t="s">
        <v>250</v>
      </c>
      <c r="B3" s="77">
        <f>B2*B9</f>
        <v>440000</v>
      </c>
    </row>
    <row r="4" spans="1:2" x14ac:dyDescent="0.25">
      <c r="A4" t="s">
        <v>251</v>
      </c>
      <c r="B4" s="77">
        <v>550000</v>
      </c>
    </row>
    <row r="5" spans="1:2" x14ac:dyDescent="0.25">
      <c r="A5" t="s">
        <v>252</v>
      </c>
      <c r="B5" s="77">
        <v>50000</v>
      </c>
    </row>
    <row r="6" spans="1:2" x14ac:dyDescent="0.25">
      <c r="A6" t="s">
        <v>253</v>
      </c>
      <c r="B6" s="77">
        <v>75000</v>
      </c>
    </row>
    <row r="7" spans="1:2" x14ac:dyDescent="0.25">
      <c r="A7" t="s">
        <v>254</v>
      </c>
      <c r="B7" s="77">
        <v>70000</v>
      </c>
    </row>
    <row r="9" spans="1:2" x14ac:dyDescent="0.25">
      <c r="A9" t="s">
        <v>240</v>
      </c>
      <c r="B9" s="66">
        <v>0.22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514DA-E9B5-481F-9C8F-C374AE2DFEBF}">
  <dimension ref="A1:E53"/>
  <sheetViews>
    <sheetView topLeftCell="A27" workbookViewId="0">
      <selection activeCell="A53" sqref="A53"/>
    </sheetView>
  </sheetViews>
  <sheetFormatPr baseColWidth="10" defaultRowHeight="15" x14ac:dyDescent="0.25"/>
  <sheetData>
    <row r="1" spans="1:5" x14ac:dyDescent="0.25">
      <c r="A1" s="1" t="s">
        <v>57</v>
      </c>
      <c r="B1" s="1"/>
      <c r="C1" s="1"/>
      <c r="D1" s="1"/>
      <c r="E1" s="1"/>
    </row>
    <row r="2" spans="1:5" x14ac:dyDescent="0.25">
      <c r="A2" t="s">
        <v>239</v>
      </c>
      <c r="D2" s="4">
        <f>'Oppgave 2'!B1</f>
        <v>600000</v>
      </c>
    </row>
    <row r="4" spans="1:5" x14ac:dyDescent="0.25">
      <c r="A4" t="s">
        <v>255</v>
      </c>
    </row>
    <row r="6" spans="1:5" x14ac:dyDescent="0.25">
      <c r="B6" s="98">
        <v>44197</v>
      </c>
      <c r="C6" s="1"/>
      <c r="D6" s="98">
        <v>44561</v>
      </c>
      <c r="E6" s="1" t="s">
        <v>241</v>
      </c>
    </row>
    <row r="7" spans="1:5" x14ac:dyDescent="0.25">
      <c r="A7" s="1" t="s">
        <v>256</v>
      </c>
    </row>
    <row r="8" spans="1:5" x14ac:dyDescent="0.25">
      <c r="A8" s="1" t="s">
        <v>242</v>
      </c>
      <c r="B8" s="28"/>
      <c r="D8" s="28"/>
    </row>
    <row r="9" spans="1:5" x14ac:dyDescent="0.25">
      <c r="A9" s="1"/>
      <c r="B9" s="4">
        <f>'Oppgave 2'!B2</f>
        <v>2000000</v>
      </c>
      <c r="C9" s="4"/>
      <c r="D9" s="4">
        <f>D11/'Oppgave 2'!B9</f>
        <v>2500000</v>
      </c>
      <c r="E9" s="4">
        <f>B9-D9</f>
        <v>-500000</v>
      </c>
    </row>
    <row r="10" spans="1:5" x14ac:dyDescent="0.25">
      <c r="A10" s="1"/>
      <c r="B10" s="4"/>
      <c r="C10" s="4"/>
      <c r="D10" s="4"/>
      <c r="E10" s="4"/>
    </row>
    <row r="11" spans="1:5" x14ac:dyDescent="0.25">
      <c r="A11" s="1" t="s">
        <v>173</v>
      </c>
      <c r="B11" s="4">
        <f>B9*'Oppgave 2'!B9</f>
        <v>440000</v>
      </c>
      <c r="C11" s="4"/>
      <c r="D11" s="4">
        <v>550000</v>
      </c>
      <c r="E11" s="4">
        <f>D11-B11</f>
        <v>110000</v>
      </c>
    </row>
    <row r="13" spans="1:5" x14ac:dyDescent="0.25">
      <c r="A13" t="s">
        <v>257</v>
      </c>
    </row>
    <row r="14" spans="1:5" x14ac:dyDescent="0.25">
      <c r="A14" t="s">
        <v>14</v>
      </c>
      <c r="D14" s="12">
        <f>D2</f>
        <v>600000</v>
      </c>
    </row>
    <row r="15" spans="1:5" x14ac:dyDescent="0.25">
      <c r="A15" t="s">
        <v>258</v>
      </c>
      <c r="D15" s="25">
        <f>E9</f>
        <v>-500000</v>
      </c>
    </row>
    <row r="16" spans="1:5" x14ac:dyDescent="0.25">
      <c r="A16" s="1" t="s">
        <v>243</v>
      </c>
      <c r="B16" s="1"/>
      <c r="C16" s="1"/>
      <c r="D16" s="99">
        <f>SUM(D14:D15)</f>
        <v>100000</v>
      </c>
    </row>
    <row r="18" spans="1:4" x14ac:dyDescent="0.25">
      <c r="A18" s="1" t="s">
        <v>81</v>
      </c>
    </row>
    <row r="19" spans="1:4" x14ac:dyDescent="0.25">
      <c r="A19" t="s">
        <v>243</v>
      </c>
      <c r="D19" s="12">
        <f>D16</f>
        <v>100000</v>
      </c>
    </row>
    <row r="21" spans="1:4" x14ac:dyDescent="0.25">
      <c r="A21" s="1" t="s">
        <v>244</v>
      </c>
      <c r="B21" s="1"/>
      <c r="C21" s="1"/>
      <c r="D21" s="99">
        <f>D19*'Oppgave 2'!B9</f>
        <v>22000</v>
      </c>
    </row>
    <row r="23" spans="1:4" x14ac:dyDescent="0.25">
      <c r="A23" s="1" t="s">
        <v>90</v>
      </c>
    </row>
    <row r="24" spans="1:4" x14ac:dyDescent="0.25">
      <c r="A24" t="s">
        <v>245</v>
      </c>
    </row>
    <row r="25" spans="1:4" x14ac:dyDescent="0.25">
      <c r="A25" t="s">
        <v>244</v>
      </c>
      <c r="D25" s="12">
        <f>D21</f>
        <v>22000</v>
      </c>
    </row>
    <row r="26" spans="1:4" x14ac:dyDescent="0.25">
      <c r="A26" t="s">
        <v>246</v>
      </c>
      <c r="D26" s="25">
        <f>E11</f>
        <v>110000</v>
      </c>
    </row>
    <row r="27" spans="1:4" x14ac:dyDescent="0.25">
      <c r="A27" s="1" t="s">
        <v>262</v>
      </c>
      <c r="D27" s="99">
        <f>SUM(D25:D26)</f>
        <v>132000</v>
      </c>
    </row>
    <row r="29" spans="1:4" x14ac:dyDescent="0.25">
      <c r="A29" s="1" t="s">
        <v>247</v>
      </c>
    </row>
    <row r="30" spans="1:4" x14ac:dyDescent="0.25">
      <c r="A30" t="s">
        <v>14</v>
      </c>
      <c r="D30" s="12">
        <f>D2</f>
        <v>600000</v>
      </c>
    </row>
    <row r="31" spans="1:4" x14ac:dyDescent="0.25">
      <c r="A31" t="s">
        <v>258</v>
      </c>
      <c r="D31" s="12">
        <f>E9</f>
        <v>-500000</v>
      </c>
    </row>
    <row r="32" spans="1:4" x14ac:dyDescent="0.25">
      <c r="A32" t="s">
        <v>259</v>
      </c>
      <c r="D32" s="25">
        <f>'Oppgave 2'!B5</f>
        <v>50000</v>
      </c>
    </row>
    <row r="33" spans="1:4" x14ac:dyDescent="0.25">
      <c r="A33" s="1" t="s">
        <v>243</v>
      </c>
      <c r="B33" s="1"/>
      <c r="C33" s="1"/>
      <c r="D33" s="99">
        <f>SUM(D30:D32)</f>
        <v>150000</v>
      </c>
    </row>
    <row r="35" spans="1:4" x14ac:dyDescent="0.25">
      <c r="A35" s="1"/>
    </row>
    <row r="36" spans="1:4" x14ac:dyDescent="0.25">
      <c r="A36" t="s">
        <v>243</v>
      </c>
      <c r="D36" s="12">
        <f>D33</f>
        <v>150000</v>
      </c>
    </row>
    <row r="38" spans="1:4" x14ac:dyDescent="0.25">
      <c r="A38" s="1" t="s">
        <v>244</v>
      </c>
      <c r="B38" s="1"/>
      <c r="C38" s="1"/>
      <c r="D38" s="99">
        <f>D36*'Oppgave 2'!B9</f>
        <v>33000</v>
      </c>
    </row>
    <row r="40" spans="1:4" x14ac:dyDescent="0.25">
      <c r="A40" t="s">
        <v>245</v>
      </c>
    </row>
    <row r="41" spans="1:4" x14ac:dyDescent="0.25">
      <c r="A41" t="s">
        <v>244</v>
      </c>
      <c r="D41" s="12">
        <f>D38</f>
        <v>33000</v>
      </c>
    </row>
    <row r="42" spans="1:4" x14ac:dyDescent="0.25">
      <c r="A42" t="s">
        <v>246</v>
      </c>
      <c r="D42" s="25">
        <f>E11</f>
        <v>110000</v>
      </c>
    </row>
    <row r="43" spans="1:4" x14ac:dyDescent="0.25">
      <c r="A43" s="1" t="s">
        <v>262</v>
      </c>
      <c r="D43" s="99">
        <f>SUM(D41:D42)</f>
        <v>143000</v>
      </c>
    </row>
    <row r="44" spans="1:4" x14ac:dyDescent="0.25">
      <c r="A44" s="1"/>
      <c r="D44" s="99"/>
    </row>
    <row r="45" spans="1:4" x14ac:dyDescent="0.25">
      <c r="A45" s="1" t="s">
        <v>260</v>
      </c>
    </row>
    <row r="46" spans="1:4" x14ac:dyDescent="0.25">
      <c r="A46" t="s">
        <v>245</v>
      </c>
    </row>
    <row r="47" spans="1:4" x14ac:dyDescent="0.25">
      <c r="A47" t="s">
        <v>244</v>
      </c>
      <c r="D47" s="12">
        <f>D38</f>
        <v>33000</v>
      </c>
    </row>
    <row r="48" spans="1:4" x14ac:dyDescent="0.25">
      <c r="A48" t="s">
        <v>246</v>
      </c>
      <c r="D48" s="4">
        <f>E11</f>
        <v>110000</v>
      </c>
    </row>
    <row r="49" spans="1:4" x14ac:dyDescent="0.25">
      <c r="A49" t="s">
        <v>263</v>
      </c>
      <c r="D49" s="25">
        <f>'Oppgave 2'!B7-'Oppgave 2'!B6</f>
        <v>-5000</v>
      </c>
    </row>
    <row r="50" spans="1:4" x14ac:dyDescent="0.25">
      <c r="A50" s="1" t="s">
        <v>262</v>
      </c>
      <c r="D50" s="99">
        <f>SUM(D47:D49)</f>
        <v>138000</v>
      </c>
    </row>
    <row r="52" spans="1:4" x14ac:dyDescent="0.25">
      <c r="A52" s="1" t="s">
        <v>261</v>
      </c>
    </row>
    <row r="53" spans="1:4" x14ac:dyDescent="0.25">
      <c r="A53" s="1" t="s">
        <v>264</v>
      </c>
      <c r="B53" s="1"/>
      <c r="C53" s="1"/>
      <c r="D53" s="3">
        <f>'Oppgave 2'!B7</f>
        <v>70000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2F3B5-C4BE-44FA-B7BF-CB1FC2025837}">
  <dimension ref="A1:C33"/>
  <sheetViews>
    <sheetView topLeftCell="A7" workbookViewId="0">
      <selection sqref="A1:C33"/>
    </sheetView>
  </sheetViews>
  <sheetFormatPr baseColWidth="10" defaultRowHeight="15" x14ac:dyDescent="0.25"/>
  <cols>
    <col min="1" max="1" width="23" bestFit="1" customWidth="1"/>
  </cols>
  <sheetData>
    <row r="1" spans="1:3" x14ac:dyDescent="0.25">
      <c r="A1" s="1" t="s">
        <v>227</v>
      </c>
      <c r="B1" s="15" t="s">
        <v>165</v>
      </c>
      <c r="C1" s="15" t="s">
        <v>166</v>
      </c>
    </row>
    <row r="2" spans="1:3" x14ac:dyDescent="0.25">
      <c r="A2" t="s">
        <v>206</v>
      </c>
      <c r="B2" s="4">
        <v>4150</v>
      </c>
      <c r="C2" s="4">
        <v>3650</v>
      </c>
    </row>
    <row r="3" spans="1:3" x14ac:dyDescent="0.25">
      <c r="A3" t="s">
        <v>228</v>
      </c>
      <c r="B3" s="4">
        <v>2750</v>
      </c>
      <c r="C3" s="4"/>
    </row>
    <row r="4" spans="1:3" x14ac:dyDescent="0.25">
      <c r="A4" t="s">
        <v>22</v>
      </c>
      <c r="B4" s="2">
        <v>1580</v>
      </c>
      <c r="C4" s="2">
        <v>1800</v>
      </c>
    </row>
    <row r="5" spans="1:3" x14ac:dyDescent="0.25">
      <c r="A5" s="1" t="s">
        <v>27</v>
      </c>
      <c r="B5" s="96">
        <f>SUM(B2:B4)</f>
        <v>8480</v>
      </c>
      <c r="C5" s="96">
        <f>SUM(C2:C4)</f>
        <v>5450</v>
      </c>
    </row>
    <row r="6" spans="1:3" x14ac:dyDescent="0.25">
      <c r="B6" s="4"/>
      <c r="C6" s="4"/>
    </row>
    <row r="7" spans="1:3" x14ac:dyDescent="0.25">
      <c r="A7" t="s">
        <v>30</v>
      </c>
      <c r="B7" s="4">
        <v>1300</v>
      </c>
      <c r="C7" s="4">
        <v>850</v>
      </c>
    </row>
    <row r="8" spans="1:3" x14ac:dyDescent="0.25">
      <c r="A8" t="s">
        <v>60</v>
      </c>
      <c r="B8" s="4">
        <v>2150</v>
      </c>
      <c r="C8" s="4">
        <v>1950</v>
      </c>
    </row>
    <row r="9" spans="1:3" x14ac:dyDescent="0.25">
      <c r="A9" t="s">
        <v>173</v>
      </c>
      <c r="B9" s="4">
        <v>250</v>
      </c>
      <c r="C9" s="4">
        <v>100</v>
      </c>
    </row>
    <row r="10" spans="1:3" x14ac:dyDescent="0.25">
      <c r="A10" t="s">
        <v>174</v>
      </c>
      <c r="B10" s="2">
        <v>4780</v>
      </c>
      <c r="C10" s="2">
        <v>2550</v>
      </c>
    </row>
    <row r="11" spans="1:3" x14ac:dyDescent="0.25">
      <c r="A11" s="1" t="s">
        <v>41</v>
      </c>
      <c r="B11" s="96">
        <f>SUM(B7:B10)</f>
        <v>8480</v>
      </c>
      <c r="C11" s="96">
        <f>SUM(C7:C10)</f>
        <v>5450</v>
      </c>
    </row>
    <row r="13" spans="1:3" ht="15.75" x14ac:dyDescent="0.25">
      <c r="A13" s="1" t="s">
        <v>229</v>
      </c>
      <c r="B13" s="95" t="s">
        <v>165</v>
      </c>
      <c r="C13" s="95" t="s">
        <v>166</v>
      </c>
    </row>
    <row r="14" spans="1:3" x14ac:dyDescent="0.25">
      <c r="A14" t="s">
        <v>175</v>
      </c>
      <c r="B14" s="4">
        <v>12000</v>
      </c>
      <c r="C14" s="4">
        <v>8000</v>
      </c>
    </row>
    <row r="15" spans="1:3" x14ac:dyDescent="0.25">
      <c r="A15" t="s">
        <v>230</v>
      </c>
      <c r="B15" s="4">
        <v>8500</v>
      </c>
      <c r="C15" s="4">
        <v>6000</v>
      </c>
    </row>
    <row r="16" spans="1:3" x14ac:dyDescent="0.25">
      <c r="A16" t="s">
        <v>63</v>
      </c>
      <c r="B16" s="13">
        <v>700</v>
      </c>
      <c r="C16" s="13">
        <v>500</v>
      </c>
    </row>
    <row r="17" spans="1:3" x14ac:dyDescent="0.25">
      <c r="A17" t="s">
        <v>7</v>
      </c>
      <c r="B17" s="2">
        <v>1260</v>
      </c>
      <c r="C17" s="2">
        <v>900</v>
      </c>
    </row>
    <row r="18" spans="1:3" x14ac:dyDescent="0.25">
      <c r="A18" s="1" t="s">
        <v>8</v>
      </c>
      <c r="B18" s="96">
        <f>B14-B15-B16-B17</f>
        <v>1540</v>
      </c>
      <c r="C18" s="96">
        <f>C14-C15-C16-C17</f>
        <v>600</v>
      </c>
    </row>
    <row r="19" spans="1:3" x14ac:dyDescent="0.25">
      <c r="B19" s="13"/>
      <c r="C19" s="13"/>
    </row>
    <row r="20" spans="1:3" x14ac:dyDescent="0.25">
      <c r="A20" t="s">
        <v>15</v>
      </c>
      <c r="B20" s="4">
        <v>340</v>
      </c>
      <c r="C20" s="4">
        <v>132</v>
      </c>
    </row>
    <row r="21" spans="1:3" x14ac:dyDescent="0.25">
      <c r="B21" s="4"/>
      <c r="C21" s="4"/>
    </row>
    <row r="22" spans="1:3" x14ac:dyDescent="0.25">
      <c r="A22" s="1" t="s">
        <v>16</v>
      </c>
      <c r="B22" s="97">
        <f>B18-B20</f>
        <v>1200</v>
      </c>
      <c r="C22" s="97">
        <f>C18-C20</f>
        <v>468</v>
      </c>
    </row>
    <row r="23" spans="1:3" x14ac:dyDescent="0.25">
      <c r="B23" s="4"/>
      <c r="C23" s="4"/>
    </row>
    <row r="24" spans="1:3" x14ac:dyDescent="0.25">
      <c r="A24" t="s">
        <v>206</v>
      </c>
      <c r="B24" s="4">
        <v>4830</v>
      </c>
      <c r="C24" s="4">
        <v>3200</v>
      </c>
    </row>
    <row r="25" spans="1:3" x14ac:dyDescent="0.25">
      <c r="A25" t="s">
        <v>228</v>
      </c>
      <c r="B25" s="13">
        <v>2750</v>
      </c>
      <c r="C25" s="13"/>
    </row>
    <row r="26" spans="1:3" x14ac:dyDescent="0.25">
      <c r="A26" t="s">
        <v>22</v>
      </c>
      <c r="B26" s="2">
        <v>1500</v>
      </c>
      <c r="C26" s="2">
        <v>1930</v>
      </c>
    </row>
    <row r="27" spans="1:3" x14ac:dyDescent="0.25">
      <c r="A27" s="1" t="s">
        <v>27</v>
      </c>
      <c r="B27" s="96">
        <f>SUM(B24:B26)</f>
        <v>9080</v>
      </c>
      <c r="C27" s="96">
        <f>SUM(C24:C26)</f>
        <v>5130</v>
      </c>
    </row>
    <row r="28" spans="1:3" x14ac:dyDescent="0.25">
      <c r="B28" s="13"/>
      <c r="C28" s="13"/>
    </row>
    <row r="29" spans="1:3" x14ac:dyDescent="0.25">
      <c r="A29" t="s">
        <v>30</v>
      </c>
      <c r="B29" s="4">
        <v>1300</v>
      </c>
      <c r="C29" s="4">
        <v>850</v>
      </c>
    </row>
    <row r="30" spans="1:3" x14ac:dyDescent="0.25">
      <c r="A30" t="s">
        <v>60</v>
      </c>
      <c r="B30" s="4">
        <v>3350</v>
      </c>
      <c r="C30" s="4">
        <v>2418</v>
      </c>
    </row>
    <row r="31" spans="1:3" x14ac:dyDescent="0.25">
      <c r="A31" t="s">
        <v>173</v>
      </c>
      <c r="B31" s="13">
        <v>270</v>
      </c>
      <c r="C31" s="13">
        <v>80</v>
      </c>
    </row>
    <row r="32" spans="1:3" x14ac:dyDescent="0.25">
      <c r="A32" t="s">
        <v>174</v>
      </c>
      <c r="B32" s="2">
        <v>4160</v>
      </c>
      <c r="C32" s="2">
        <v>1782</v>
      </c>
    </row>
    <row r="33" spans="1:3" x14ac:dyDescent="0.25">
      <c r="A33" s="1" t="s">
        <v>41</v>
      </c>
      <c r="B33" s="96">
        <f>SUM(B29:B32)</f>
        <v>9080</v>
      </c>
      <c r="C33" s="96">
        <f>SUM(C29:C32)</f>
        <v>5130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903F4-B024-4AF8-AD18-68359972AD2E}">
  <dimension ref="A2:O92"/>
  <sheetViews>
    <sheetView topLeftCell="B22" workbookViewId="0">
      <selection activeCell="I27" sqref="I27"/>
    </sheetView>
  </sheetViews>
  <sheetFormatPr baseColWidth="10" defaultRowHeight="15" x14ac:dyDescent="0.25"/>
  <cols>
    <col min="2" max="2" width="35.28515625" bestFit="1" customWidth="1"/>
  </cols>
  <sheetData>
    <row r="2" spans="1:15" x14ac:dyDescent="0.25">
      <c r="A2" t="s">
        <v>57</v>
      </c>
      <c r="B2" s="1" t="s">
        <v>64</v>
      </c>
      <c r="H2" s="15"/>
    </row>
    <row r="3" spans="1:15" x14ac:dyDescent="0.25">
      <c r="B3" s="26"/>
      <c r="C3" s="27" t="s">
        <v>65</v>
      </c>
      <c r="D3" s="27" t="s">
        <v>58</v>
      </c>
      <c r="E3" s="27" t="s">
        <v>59</v>
      </c>
    </row>
    <row r="4" spans="1:15" x14ac:dyDescent="0.25">
      <c r="B4" s="28"/>
      <c r="C4" s="29"/>
      <c r="D4" s="30">
        <v>0.6</v>
      </c>
      <c r="E4" s="30">
        <v>0.4</v>
      </c>
    </row>
    <row r="5" spans="1:15" x14ac:dyDescent="0.25">
      <c r="B5" t="s">
        <v>30</v>
      </c>
      <c r="C5" s="31">
        <v>850</v>
      </c>
      <c r="D5" s="31">
        <f>C5*$D$4</f>
        <v>510</v>
      </c>
      <c r="E5" s="31">
        <f>C5*$E$4</f>
        <v>340</v>
      </c>
    </row>
    <row r="6" spans="1:15" x14ac:dyDescent="0.25">
      <c r="B6" t="s">
        <v>60</v>
      </c>
      <c r="C6" s="31">
        <v>1950</v>
      </c>
      <c r="D6" s="31">
        <f>C6*$D$4</f>
        <v>1170</v>
      </c>
      <c r="E6" s="31">
        <f>C6*$E$4</f>
        <v>780</v>
      </c>
    </row>
    <row r="7" spans="1:15" x14ac:dyDescent="0.25">
      <c r="B7" t="s">
        <v>66</v>
      </c>
      <c r="C7" s="31">
        <v>250</v>
      </c>
      <c r="D7" s="31">
        <f>C7*$D$4</f>
        <v>150</v>
      </c>
      <c r="E7" s="31">
        <f>C7*$E$4</f>
        <v>100</v>
      </c>
    </row>
    <row r="8" spans="1:15" x14ac:dyDescent="0.25">
      <c r="B8" t="s">
        <v>162</v>
      </c>
      <c r="C8" s="31">
        <v>750</v>
      </c>
      <c r="D8" s="31">
        <f>C8*$D$4</f>
        <v>450</v>
      </c>
      <c r="E8" s="31">
        <f>C8*$E$4</f>
        <v>300</v>
      </c>
    </row>
    <row r="9" spans="1:15" x14ac:dyDescent="0.25">
      <c r="B9" t="s">
        <v>163</v>
      </c>
      <c r="C9" s="32">
        <f>-(C7+C8)*0.22</f>
        <v>-220</v>
      </c>
      <c r="D9" s="32">
        <f>C9*$D$4</f>
        <v>-132</v>
      </c>
      <c r="E9" s="32">
        <f>C9*$E$4</f>
        <v>-88</v>
      </c>
    </row>
    <row r="10" spans="1:15" ht="21" x14ac:dyDescent="0.35">
      <c r="B10" t="s">
        <v>164</v>
      </c>
      <c r="C10" s="33">
        <f>SUM(C5:C9)</f>
        <v>3580</v>
      </c>
      <c r="D10" s="31">
        <f>SUM(D5:D9)</f>
        <v>2148</v>
      </c>
      <c r="E10" s="33">
        <f>SUM(E5:E9)</f>
        <v>1432</v>
      </c>
      <c r="K10" s="34"/>
      <c r="L10" s="34"/>
      <c r="M10" s="34"/>
      <c r="N10" s="34"/>
      <c r="O10" s="34"/>
    </row>
    <row r="11" spans="1:15" x14ac:dyDescent="0.25">
      <c r="B11" t="s">
        <v>67</v>
      </c>
      <c r="C11" s="31"/>
      <c r="D11" s="32">
        <v>2750</v>
      </c>
      <c r="E11" s="31"/>
    </row>
    <row r="12" spans="1:15" ht="21" x14ac:dyDescent="0.35">
      <c r="B12" t="s">
        <v>68</v>
      </c>
      <c r="C12" s="31"/>
      <c r="D12" s="35">
        <f>D11-D10</f>
        <v>602</v>
      </c>
      <c r="E12" s="31"/>
      <c r="K12" s="34"/>
      <c r="L12" s="34"/>
      <c r="M12" s="34"/>
      <c r="N12" s="34"/>
      <c r="O12" s="34"/>
    </row>
    <row r="16" spans="1:15" x14ac:dyDescent="0.25">
      <c r="A16" t="s">
        <v>81</v>
      </c>
      <c r="B16" s="1" t="s">
        <v>221</v>
      </c>
    </row>
    <row r="17" spans="1:15" x14ac:dyDescent="0.25">
      <c r="B17" s="36" t="s">
        <v>224</v>
      </c>
      <c r="C17" s="37" t="s">
        <v>165</v>
      </c>
      <c r="D17" s="37" t="s">
        <v>166</v>
      </c>
      <c r="E17" s="104" t="s">
        <v>167</v>
      </c>
      <c r="F17" s="105"/>
      <c r="G17" s="37" t="s">
        <v>168</v>
      </c>
      <c r="L17" s="39"/>
    </row>
    <row r="18" spans="1:15" x14ac:dyDescent="0.25">
      <c r="B18" s="40"/>
      <c r="C18" s="41"/>
      <c r="D18" s="41"/>
      <c r="E18" s="42"/>
      <c r="F18" s="43"/>
      <c r="G18" s="44"/>
      <c r="L18" s="39"/>
    </row>
    <row r="19" spans="1:15" x14ac:dyDescent="0.25">
      <c r="B19" s="40" t="s">
        <v>169</v>
      </c>
      <c r="C19" s="45">
        <v>4150</v>
      </c>
      <c r="D19" s="45">
        <v>3650</v>
      </c>
      <c r="E19" s="46">
        <v>450</v>
      </c>
      <c r="F19" s="47">
        <v>300</v>
      </c>
      <c r="G19" s="48">
        <f>SUM(C19:F19)</f>
        <v>8550</v>
      </c>
      <c r="L19" s="39"/>
    </row>
    <row r="20" spans="1:15" x14ac:dyDescent="0.25">
      <c r="B20" s="40" t="s">
        <v>68</v>
      </c>
      <c r="C20" s="45"/>
      <c r="D20" s="45"/>
      <c r="E20" s="46">
        <f>D12</f>
        <v>602</v>
      </c>
      <c r="F20" s="47"/>
      <c r="G20" s="48">
        <f t="shared" ref="G20:G22" si="0">SUM(C20:F20)</f>
        <v>602</v>
      </c>
      <c r="L20" s="39"/>
    </row>
    <row r="21" spans="1:15" x14ac:dyDescent="0.25">
      <c r="B21" s="40" t="s">
        <v>61</v>
      </c>
      <c r="C21" s="45">
        <v>2750</v>
      </c>
      <c r="D21" s="45"/>
      <c r="E21" s="49">
        <v>-2750</v>
      </c>
      <c r="F21" s="47"/>
      <c r="G21" s="48">
        <f t="shared" si="0"/>
        <v>0</v>
      </c>
      <c r="H21" s="39" t="s">
        <v>170</v>
      </c>
    </row>
    <row r="22" spans="1:15" ht="18.75" x14ac:dyDescent="0.3">
      <c r="B22" s="40" t="s">
        <v>22</v>
      </c>
      <c r="C22" s="45">
        <v>1580</v>
      </c>
      <c r="D22" s="45">
        <v>1800</v>
      </c>
      <c r="E22" s="49">
        <f>D7</f>
        <v>150</v>
      </c>
      <c r="F22" s="47">
        <f>E7</f>
        <v>100</v>
      </c>
      <c r="G22" s="48">
        <f t="shared" si="0"/>
        <v>3630</v>
      </c>
      <c r="H22" s="39" t="s">
        <v>171</v>
      </c>
      <c r="I22" s="50"/>
      <c r="J22" s="50"/>
      <c r="K22" s="50"/>
    </row>
    <row r="23" spans="1:15" ht="18.75" x14ac:dyDescent="0.3">
      <c r="B23" s="51" t="s">
        <v>27</v>
      </c>
      <c r="C23" s="52">
        <f>SUM(C19:C22)</f>
        <v>8480</v>
      </c>
      <c r="D23" s="52">
        <f>SUM(D19:D22)</f>
        <v>5450</v>
      </c>
      <c r="E23" s="49"/>
      <c r="F23" s="47"/>
      <c r="G23" s="53">
        <f>SUM(G19:G22)</f>
        <v>12782</v>
      </c>
      <c r="K23" s="50"/>
      <c r="L23" s="50"/>
      <c r="M23" s="50"/>
      <c r="N23" s="50"/>
      <c r="O23" s="50"/>
    </row>
    <row r="24" spans="1:15" x14ac:dyDescent="0.25">
      <c r="B24" s="40" t="s">
        <v>30</v>
      </c>
      <c r="C24" s="45">
        <v>-1300</v>
      </c>
      <c r="D24" s="45">
        <v>-850</v>
      </c>
      <c r="E24" s="49">
        <v>510</v>
      </c>
      <c r="F24" s="47">
        <v>340</v>
      </c>
      <c r="G24" s="48">
        <f>SUM(C24:F24)</f>
        <v>-1300</v>
      </c>
    </row>
    <row r="25" spans="1:15" x14ac:dyDescent="0.25">
      <c r="B25" s="40" t="s">
        <v>60</v>
      </c>
      <c r="C25" s="45">
        <v>-2150</v>
      </c>
      <c r="D25" s="45">
        <v>-1950</v>
      </c>
      <c r="E25" s="49">
        <v>1170</v>
      </c>
      <c r="F25" s="47">
        <v>780</v>
      </c>
      <c r="G25" s="48">
        <f t="shared" ref="G25:G28" si="1">SUM(C25:F25)</f>
        <v>-2150</v>
      </c>
    </row>
    <row r="26" spans="1:15" x14ac:dyDescent="0.25">
      <c r="B26" s="40" t="s">
        <v>172</v>
      </c>
      <c r="C26" s="45"/>
      <c r="D26" s="45"/>
      <c r="E26" s="49"/>
      <c r="F26" s="47">
        <f>-E10</f>
        <v>-1432</v>
      </c>
      <c r="G26" s="48">
        <f t="shared" si="1"/>
        <v>-1432</v>
      </c>
    </row>
    <row r="27" spans="1:15" ht="21" x14ac:dyDescent="0.35">
      <c r="B27" s="40" t="s">
        <v>173</v>
      </c>
      <c r="C27" s="45">
        <v>-250</v>
      </c>
      <c r="D27" s="45">
        <v>-100</v>
      </c>
      <c r="E27" s="49">
        <f>D9</f>
        <v>-132</v>
      </c>
      <c r="F27" s="49">
        <f>E9</f>
        <v>-88</v>
      </c>
      <c r="G27" s="48">
        <f t="shared" si="1"/>
        <v>-570</v>
      </c>
      <c r="K27" s="34"/>
      <c r="L27" s="34"/>
      <c r="M27" s="34"/>
      <c r="N27" s="34"/>
      <c r="O27" s="34"/>
    </row>
    <row r="28" spans="1:15" x14ac:dyDescent="0.25">
      <c r="B28" s="40" t="s">
        <v>174</v>
      </c>
      <c r="C28" s="45">
        <v>-4780</v>
      </c>
      <c r="D28" s="45">
        <v>-2550</v>
      </c>
      <c r="E28" s="49"/>
      <c r="F28" s="47"/>
      <c r="G28" s="48">
        <f t="shared" si="1"/>
        <v>-7330</v>
      </c>
    </row>
    <row r="29" spans="1:15" ht="18.75" x14ac:dyDescent="0.3">
      <c r="B29" s="51" t="s">
        <v>41</v>
      </c>
      <c r="C29" s="52">
        <f>SUM(C24:C28)</f>
        <v>-8480</v>
      </c>
      <c r="D29" s="52">
        <f>SUM(D24:D28)</f>
        <v>-5450</v>
      </c>
      <c r="E29" s="54">
        <f>SUM(E18:E28)</f>
        <v>0</v>
      </c>
      <c r="F29" s="54">
        <f>SUM(F18:F28)</f>
        <v>0</v>
      </c>
      <c r="G29" s="53">
        <f>SUM(G24:G28)</f>
        <v>-12782</v>
      </c>
      <c r="K29" s="50"/>
      <c r="L29" s="50"/>
      <c r="M29" s="50"/>
      <c r="N29" s="50"/>
      <c r="O29" s="50"/>
    </row>
    <row r="30" spans="1:15" x14ac:dyDescent="0.25">
      <c r="C30" s="55"/>
      <c r="D30" s="55"/>
      <c r="E30" s="55"/>
      <c r="F30" s="55"/>
      <c r="G30" s="55"/>
    </row>
    <row r="31" spans="1:15" x14ac:dyDescent="0.25">
      <c r="C31" s="56"/>
    </row>
    <row r="32" spans="1:15" x14ac:dyDescent="0.25">
      <c r="A32" t="s">
        <v>90</v>
      </c>
      <c r="B32" s="1" t="s">
        <v>219</v>
      </c>
    </row>
    <row r="33" spans="2:15" x14ac:dyDescent="0.25">
      <c r="F33" s="57"/>
    </row>
    <row r="34" spans="2:15" x14ac:dyDescent="0.25">
      <c r="B34" s="36" t="s">
        <v>149</v>
      </c>
      <c r="C34" s="37" t="s">
        <v>165</v>
      </c>
      <c r="D34" s="37" t="s">
        <v>166</v>
      </c>
      <c r="E34" s="104" t="s">
        <v>167</v>
      </c>
      <c r="F34" s="106"/>
      <c r="G34" s="106"/>
      <c r="H34" s="105"/>
      <c r="I34" s="37" t="s">
        <v>168</v>
      </c>
    </row>
    <row r="35" spans="2:15" ht="18.75" x14ac:dyDescent="0.3">
      <c r="B35" s="40" t="s">
        <v>175</v>
      </c>
      <c r="C35" s="48">
        <v>-12000</v>
      </c>
      <c r="D35" s="48">
        <v>-8000</v>
      </c>
      <c r="E35" s="58">
        <v>500</v>
      </c>
      <c r="F35" s="48"/>
      <c r="G35" s="48"/>
      <c r="H35" s="48"/>
      <c r="I35" s="48">
        <f>SUM(C35:H35)</f>
        <v>-19500</v>
      </c>
      <c r="K35" s="50"/>
      <c r="L35" s="50"/>
      <c r="M35" s="50"/>
      <c r="N35" s="50"/>
      <c r="O35" s="50"/>
    </row>
    <row r="36" spans="2:15" x14ac:dyDescent="0.25">
      <c r="B36" s="40" t="s">
        <v>4</v>
      </c>
      <c r="C36" s="48">
        <v>8500</v>
      </c>
      <c r="D36" s="48">
        <v>6000</v>
      </c>
      <c r="E36" s="48">
        <v>-500</v>
      </c>
      <c r="F36" s="48">
        <v>250</v>
      </c>
      <c r="G36" s="48"/>
      <c r="H36" s="48"/>
      <c r="I36" s="48">
        <f t="shared" ref="I36:I38" si="2">SUM(C36:H36)</f>
        <v>14250</v>
      </c>
    </row>
    <row r="37" spans="2:15" x14ac:dyDescent="0.25">
      <c r="B37" s="40" t="s">
        <v>63</v>
      </c>
      <c r="C37" s="48">
        <v>700</v>
      </c>
      <c r="D37" s="48">
        <v>500</v>
      </c>
      <c r="E37" s="48">
        <v>75</v>
      </c>
      <c r="F37" s="48">
        <v>120.4</v>
      </c>
      <c r="G37" s="48"/>
      <c r="H37" s="48"/>
      <c r="I37" s="48">
        <f t="shared" si="2"/>
        <v>1395.4</v>
      </c>
    </row>
    <row r="38" spans="2:15" x14ac:dyDescent="0.25">
      <c r="B38" s="40" t="s">
        <v>7</v>
      </c>
      <c r="C38" s="48">
        <v>1260</v>
      </c>
      <c r="D38" s="48">
        <v>900</v>
      </c>
      <c r="E38" s="48"/>
      <c r="F38" s="48"/>
      <c r="G38" s="48"/>
      <c r="H38" s="48"/>
      <c r="I38" s="48">
        <f t="shared" si="2"/>
        <v>2160</v>
      </c>
    </row>
    <row r="39" spans="2:15" ht="21" x14ac:dyDescent="0.35">
      <c r="B39" s="51" t="s">
        <v>8</v>
      </c>
      <c r="C39" s="53">
        <f>SUM(C35:C38)</f>
        <v>-1540</v>
      </c>
      <c r="D39" s="53">
        <f>SUM(D35:D38)</f>
        <v>-600</v>
      </c>
      <c r="E39" s="53"/>
      <c r="F39" s="53"/>
      <c r="G39" s="53"/>
      <c r="H39" s="53"/>
      <c r="I39" s="53">
        <f>SUM(I35:I38)</f>
        <v>-1694.6</v>
      </c>
      <c r="K39" s="34"/>
      <c r="L39" s="34"/>
      <c r="M39" s="34"/>
      <c r="N39" s="34"/>
      <c r="O39" s="34"/>
    </row>
    <row r="40" spans="2:15" x14ac:dyDescent="0.25">
      <c r="B40" s="40" t="s">
        <v>15</v>
      </c>
      <c r="C40" s="48">
        <v>340</v>
      </c>
      <c r="D40" s="48">
        <f>-D39*0.22</f>
        <v>132</v>
      </c>
      <c r="E40" s="48">
        <v>-71.5</v>
      </c>
      <c r="F40" s="48"/>
      <c r="G40" s="48"/>
      <c r="H40" s="48"/>
      <c r="I40" s="48">
        <f>SUM(C40:H40)</f>
        <v>400.5</v>
      </c>
    </row>
    <row r="41" spans="2:15" ht="18.75" x14ac:dyDescent="0.3">
      <c r="B41" s="51" t="s">
        <v>16</v>
      </c>
      <c r="C41" s="53">
        <f>SUM(C39:C40)</f>
        <v>-1200</v>
      </c>
      <c r="D41" s="53">
        <f>SUM(D39:D40)</f>
        <v>-468</v>
      </c>
      <c r="E41" s="53">
        <f>SUM(E35:E40)</f>
        <v>3.5</v>
      </c>
      <c r="F41" s="53">
        <f>SUM(F35:F40)</f>
        <v>370.4</v>
      </c>
      <c r="G41" s="53"/>
      <c r="H41" s="53"/>
      <c r="I41" s="53">
        <f>SUM(I39:I40)</f>
        <v>-1294.0999999999999</v>
      </c>
      <c r="J41" s="55"/>
      <c r="K41" s="50"/>
      <c r="L41" s="50"/>
      <c r="M41" s="50"/>
      <c r="N41" s="50"/>
      <c r="O41" s="50"/>
    </row>
    <row r="42" spans="2:15" x14ac:dyDescent="0.25">
      <c r="B42" s="59" t="s">
        <v>176</v>
      </c>
      <c r="C42" s="33"/>
      <c r="D42" s="33"/>
      <c r="E42" s="51"/>
      <c r="F42" s="53"/>
      <c r="G42" s="33"/>
      <c r="H42" s="53"/>
      <c r="I42" s="53">
        <f>E87</f>
        <v>85.800000000000011</v>
      </c>
    </row>
    <row r="43" spans="2:15" x14ac:dyDescent="0.25">
      <c r="B43" s="60" t="s">
        <v>177</v>
      </c>
      <c r="C43" s="33"/>
      <c r="D43" s="33"/>
      <c r="E43" s="51"/>
      <c r="F43" s="53"/>
      <c r="G43" s="32"/>
      <c r="H43" s="53"/>
      <c r="I43" s="53">
        <f>-I41-I42</f>
        <v>1208.3</v>
      </c>
    </row>
    <row r="44" spans="2:15" x14ac:dyDescent="0.25">
      <c r="C44" s="61"/>
      <c r="D44" s="61"/>
      <c r="E44" s="61"/>
      <c r="F44" s="61"/>
      <c r="G44" s="61"/>
      <c r="H44" s="61"/>
      <c r="I44" s="61"/>
    </row>
    <row r="45" spans="2:15" x14ac:dyDescent="0.25">
      <c r="C45" s="61"/>
      <c r="D45" s="61"/>
      <c r="E45" s="61"/>
      <c r="F45" s="61"/>
      <c r="G45" s="61"/>
      <c r="H45" s="61"/>
      <c r="I45" s="61"/>
    </row>
    <row r="46" spans="2:15" x14ac:dyDescent="0.25">
      <c r="B46" s="28"/>
      <c r="C46" s="32"/>
      <c r="D46" s="32"/>
      <c r="E46" s="107" t="s">
        <v>167</v>
      </c>
      <c r="F46" s="108"/>
      <c r="G46" s="108"/>
      <c r="H46" s="109"/>
      <c r="I46" s="32"/>
    </row>
    <row r="47" spans="2:15" x14ac:dyDescent="0.25">
      <c r="B47" s="36" t="s">
        <v>220</v>
      </c>
      <c r="C47" s="53"/>
      <c r="D47" s="53"/>
      <c r="E47" s="110" t="s">
        <v>178</v>
      </c>
      <c r="F47" s="111"/>
      <c r="G47" s="110" t="s">
        <v>179</v>
      </c>
      <c r="H47" s="111"/>
      <c r="I47" s="53"/>
    </row>
    <row r="48" spans="2:15" x14ac:dyDescent="0.25">
      <c r="B48" s="40"/>
      <c r="C48" s="48"/>
      <c r="D48" s="48"/>
      <c r="E48" s="62"/>
      <c r="F48" s="63"/>
      <c r="G48" s="48"/>
      <c r="H48" s="48"/>
      <c r="I48" s="48"/>
    </row>
    <row r="49" spans="2:15" x14ac:dyDescent="0.25">
      <c r="B49" s="40" t="s">
        <v>169</v>
      </c>
      <c r="C49" s="48">
        <v>4830</v>
      </c>
      <c r="D49" s="48">
        <v>3200</v>
      </c>
      <c r="E49" s="31">
        <f>E19</f>
        <v>450</v>
      </c>
      <c r="F49" s="48">
        <f>F19</f>
        <v>300</v>
      </c>
      <c r="G49" s="48"/>
      <c r="H49" s="48">
        <v>-75</v>
      </c>
      <c r="I49" s="48">
        <f>SUM(C49:H49)</f>
        <v>8705</v>
      </c>
    </row>
    <row r="50" spans="2:15" x14ac:dyDescent="0.25">
      <c r="B50" s="40" t="s">
        <v>68</v>
      </c>
      <c r="C50" s="48"/>
      <c r="D50" s="48"/>
      <c r="E50" s="31">
        <f>E20</f>
        <v>602</v>
      </c>
      <c r="F50" s="48"/>
      <c r="G50" s="48"/>
      <c r="H50" s="48">
        <v>-120.4</v>
      </c>
      <c r="I50" s="48">
        <f t="shared" ref="I50:I52" si="3">SUM(C50:H50)</f>
        <v>481.6</v>
      </c>
    </row>
    <row r="51" spans="2:15" x14ac:dyDescent="0.25">
      <c r="B51" s="40" t="s">
        <v>61</v>
      </c>
      <c r="C51" s="48">
        <f>C21</f>
        <v>2750</v>
      </c>
      <c r="D51" s="48"/>
      <c r="E51" s="31">
        <f>E21</f>
        <v>-2750</v>
      </c>
      <c r="F51" s="48"/>
      <c r="G51" s="48"/>
      <c r="H51" s="48"/>
      <c r="I51" s="48">
        <f t="shared" si="3"/>
        <v>0</v>
      </c>
    </row>
    <row r="52" spans="2:15" x14ac:dyDescent="0.25">
      <c r="B52" s="40" t="s">
        <v>22</v>
      </c>
      <c r="C52" s="48">
        <v>1500</v>
      </c>
      <c r="D52" s="48">
        <v>1930</v>
      </c>
      <c r="E52" s="31">
        <f>E22</f>
        <v>150</v>
      </c>
      <c r="F52" s="48">
        <f>F22</f>
        <v>100</v>
      </c>
      <c r="G52" s="48"/>
      <c r="H52" s="48">
        <v>-250</v>
      </c>
      <c r="I52" s="48">
        <f t="shared" si="3"/>
        <v>3430</v>
      </c>
    </row>
    <row r="53" spans="2:15" ht="21" x14ac:dyDescent="0.35">
      <c r="B53" s="51" t="s">
        <v>27</v>
      </c>
      <c r="C53" s="53">
        <f>SUM(C49:C52)</f>
        <v>9080</v>
      </c>
      <c r="D53" s="53">
        <f>SUM(D49:D52)</f>
        <v>5130</v>
      </c>
      <c r="E53" s="62"/>
      <c r="F53" s="48"/>
      <c r="G53" s="48"/>
      <c r="H53" s="48"/>
      <c r="I53" s="53">
        <f>SUM(I49:I52)</f>
        <v>12616.6</v>
      </c>
      <c r="K53" s="34"/>
      <c r="L53" s="34"/>
      <c r="M53" s="34"/>
      <c r="N53" s="34"/>
      <c r="O53" s="34"/>
    </row>
    <row r="54" spans="2:15" ht="18.75" x14ac:dyDescent="0.3">
      <c r="B54" s="40" t="s">
        <v>30</v>
      </c>
      <c r="C54" s="48">
        <f>C24</f>
        <v>-1300</v>
      </c>
      <c r="D54" s="48">
        <v>-850</v>
      </c>
      <c r="E54" s="62">
        <f t="shared" ref="E54:F57" si="4">E24</f>
        <v>510</v>
      </c>
      <c r="F54" s="62">
        <f t="shared" si="4"/>
        <v>340</v>
      </c>
      <c r="G54" s="48"/>
      <c r="H54" s="48"/>
      <c r="I54" s="48">
        <f>SUM(C54:H54)</f>
        <v>-1300</v>
      </c>
      <c r="K54" s="50"/>
      <c r="L54" s="50"/>
      <c r="M54" s="50"/>
      <c r="N54" s="50"/>
      <c r="O54" s="50"/>
    </row>
    <row r="55" spans="2:15" x14ac:dyDescent="0.25">
      <c r="B55" s="40" t="s">
        <v>60</v>
      </c>
      <c r="C55" s="48">
        <f>C41+C25</f>
        <v>-3350</v>
      </c>
      <c r="D55" s="48">
        <f>D41+D25</f>
        <v>-2418</v>
      </c>
      <c r="E55" s="62">
        <f t="shared" si="4"/>
        <v>1170</v>
      </c>
      <c r="F55" s="62">
        <f t="shared" si="4"/>
        <v>780</v>
      </c>
      <c r="G55" s="64">
        <f>E87</f>
        <v>85.800000000000011</v>
      </c>
      <c r="H55" s="65">
        <f>H70</f>
        <v>373.9</v>
      </c>
      <c r="I55" s="48">
        <f t="shared" ref="I55:I58" si="5">SUM(C55:H55)</f>
        <v>-3358.2999999999997</v>
      </c>
      <c r="J55" s="55"/>
    </row>
    <row r="56" spans="2:15" x14ac:dyDescent="0.25">
      <c r="B56" s="40" t="s">
        <v>172</v>
      </c>
      <c r="C56" s="48"/>
      <c r="D56" s="48"/>
      <c r="E56" s="62">
        <f t="shared" si="4"/>
        <v>0</v>
      </c>
      <c r="F56" s="62">
        <f t="shared" si="4"/>
        <v>-1432</v>
      </c>
      <c r="G56" s="64">
        <f>-E87</f>
        <v>-85.800000000000011</v>
      </c>
      <c r="H56" s="48"/>
      <c r="I56" s="48">
        <f t="shared" si="5"/>
        <v>-1517.8</v>
      </c>
    </row>
    <row r="57" spans="2:15" x14ac:dyDescent="0.25">
      <c r="B57" s="40" t="s">
        <v>173</v>
      </c>
      <c r="C57" s="48">
        <v>-270</v>
      </c>
      <c r="D57" s="48">
        <v>-80</v>
      </c>
      <c r="E57" s="62">
        <f t="shared" si="4"/>
        <v>-132</v>
      </c>
      <c r="F57" s="62">
        <f t="shared" si="4"/>
        <v>-88</v>
      </c>
      <c r="G57" s="48"/>
      <c r="H57" s="48">
        <f>I72</f>
        <v>71.5</v>
      </c>
      <c r="I57" s="48">
        <f t="shared" si="5"/>
        <v>-498.5</v>
      </c>
      <c r="J57" s="12"/>
    </row>
    <row r="58" spans="2:15" x14ac:dyDescent="0.25">
      <c r="B58" s="40" t="s">
        <v>174</v>
      </c>
      <c r="C58" s="48">
        <v>-4160</v>
      </c>
      <c r="D58" s="48">
        <v>-1782</v>
      </c>
      <c r="E58" s="62"/>
      <c r="F58" s="48"/>
      <c r="G58" s="48"/>
      <c r="H58" s="48"/>
      <c r="I58" s="48">
        <f t="shared" si="5"/>
        <v>-5942</v>
      </c>
    </row>
    <row r="59" spans="2:15" ht="21" x14ac:dyDescent="0.35">
      <c r="B59" s="51" t="s">
        <v>41</v>
      </c>
      <c r="C59" s="53">
        <f>SUM(C54:C58)</f>
        <v>-9080</v>
      </c>
      <c r="D59" s="53">
        <f>SUM(D54:D58)</f>
        <v>-5130</v>
      </c>
      <c r="E59" s="53">
        <f>SUM(E49:E57)</f>
        <v>0</v>
      </c>
      <c r="F59" s="53">
        <f>SUM(F49:F57)</f>
        <v>0</v>
      </c>
      <c r="G59" s="53">
        <f>SUM(G48:G58)</f>
        <v>0</v>
      </c>
      <c r="H59" s="53">
        <f>SUM(H48:H58)</f>
        <v>0</v>
      </c>
      <c r="I59" s="53">
        <f>SUM(I54:I58)</f>
        <v>-12616.599999999999</v>
      </c>
      <c r="K59" s="55"/>
      <c r="L59" s="34"/>
      <c r="M59" s="34"/>
      <c r="N59" s="34"/>
      <c r="O59" s="34"/>
    </row>
    <row r="63" spans="2:15" x14ac:dyDescent="0.25">
      <c r="B63" t="s">
        <v>180</v>
      </c>
      <c r="C63" s="55">
        <v>500</v>
      </c>
      <c r="E63" t="s">
        <v>222</v>
      </c>
    </row>
    <row r="64" spans="2:15" x14ac:dyDescent="0.25">
      <c r="B64" t="s">
        <v>181</v>
      </c>
      <c r="C64" s="61">
        <v>75</v>
      </c>
    </row>
    <row r="65" spans="2:15" x14ac:dyDescent="0.25">
      <c r="B65" t="s">
        <v>66</v>
      </c>
      <c r="C65" s="61">
        <v>250</v>
      </c>
      <c r="D65" s="66"/>
      <c r="E65" s="1" t="s">
        <v>182</v>
      </c>
    </row>
    <row r="66" spans="2:15" x14ac:dyDescent="0.25">
      <c r="B66" s="67" t="s">
        <v>183</v>
      </c>
      <c r="C66" s="61">
        <f>D12/5</f>
        <v>120.4</v>
      </c>
      <c r="D66" s="13"/>
      <c r="E66" t="s">
        <v>184</v>
      </c>
      <c r="H66" s="55">
        <f>C84</f>
        <v>75</v>
      </c>
    </row>
    <row r="67" spans="2:15" x14ac:dyDescent="0.25">
      <c r="D67" s="13"/>
      <c r="E67" t="s">
        <v>185</v>
      </c>
      <c r="H67" s="55">
        <f>C83</f>
        <v>120.4</v>
      </c>
    </row>
    <row r="68" spans="2:15" x14ac:dyDescent="0.25">
      <c r="D68" s="13"/>
      <c r="E68" t="s">
        <v>186</v>
      </c>
      <c r="H68" s="55">
        <f>C85</f>
        <v>250</v>
      </c>
    </row>
    <row r="69" spans="2:15" x14ac:dyDescent="0.25">
      <c r="C69" s="61"/>
      <c r="D69" s="13"/>
      <c r="E69" t="s">
        <v>187</v>
      </c>
      <c r="H69" s="68">
        <f>-C86</f>
        <v>-71.5</v>
      </c>
    </row>
    <row r="70" spans="2:15" ht="21" x14ac:dyDescent="0.35">
      <c r="E70" t="s">
        <v>188</v>
      </c>
      <c r="G70" s="34"/>
      <c r="H70" s="69">
        <f>SUM(H66:H69)</f>
        <v>373.9</v>
      </c>
      <c r="I70" s="34"/>
      <c r="J70" s="34"/>
      <c r="M70" s="34"/>
      <c r="N70" s="34"/>
      <c r="O70" s="34"/>
    </row>
    <row r="71" spans="2:15" x14ac:dyDescent="0.25">
      <c r="J71" s="55"/>
    </row>
    <row r="72" spans="2:15" x14ac:dyDescent="0.25">
      <c r="E72" t="s">
        <v>189</v>
      </c>
      <c r="I72">
        <f>(H66+H68)*0.22</f>
        <v>71.5</v>
      </c>
      <c r="J72" s="55"/>
    </row>
    <row r="73" spans="2:15" x14ac:dyDescent="0.25">
      <c r="J73" s="55"/>
    </row>
    <row r="74" spans="2:15" x14ac:dyDescent="0.25">
      <c r="C74" s="61"/>
      <c r="D74" s="13"/>
      <c r="E74" s="13"/>
    </row>
    <row r="75" spans="2:15" x14ac:dyDescent="0.25">
      <c r="C75" s="61"/>
      <c r="D75" s="13"/>
      <c r="E75" s="13"/>
    </row>
    <row r="76" spans="2:15" x14ac:dyDescent="0.25">
      <c r="C76" s="61"/>
      <c r="D76" s="13"/>
      <c r="E76" s="13"/>
    </row>
    <row r="77" spans="2:15" x14ac:dyDescent="0.25">
      <c r="C77" s="61"/>
      <c r="D77" s="13"/>
      <c r="E77" s="13"/>
    </row>
    <row r="78" spans="2:15" x14ac:dyDescent="0.25">
      <c r="C78" s="61"/>
      <c r="D78" s="13"/>
      <c r="E78" s="13"/>
    </row>
    <row r="79" spans="2:15" x14ac:dyDescent="0.25">
      <c r="C79" s="61"/>
      <c r="D79" s="13"/>
      <c r="E79" s="13"/>
    </row>
    <row r="80" spans="2:15" x14ac:dyDescent="0.25">
      <c r="B80" s="1" t="s">
        <v>190</v>
      </c>
      <c r="C80" s="15" t="s">
        <v>65</v>
      </c>
      <c r="D80" s="70" t="s">
        <v>191</v>
      </c>
      <c r="E80" s="71" t="s">
        <v>192</v>
      </c>
      <c r="G80" t="s">
        <v>193</v>
      </c>
    </row>
    <row r="81" spans="2:15" x14ac:dyDescent="0.25">
      <c r="B81" t="s">
        <v>194</v>
      </c>
      <c r="C81" s="55">
        <v>1200</v>
      </c>
      <c r="D81" s="55">
        <f>C81</f>
        <v>1200</v>
      </c>
      <c r="E81" s="72"/>
      <c r="G81" t="s">
        <v>195</v>
      </c>
    </row>
    <row r="82" spans="2:15" x14ac:dyDescent="0.25">
      <c r="B82" t="s">
        <v>196</v>
      </c>
      <c r="C82" s="55">
        <v>468</v>
      </c>
      <c r="D82" s="55">
        <f>C82*0.6</f>
        <v>280.8</v>
      </c>
      <c r="E82" s="72">
        <f>C82*0.4</f>
        <v>187.20000000000002</v>
      </c>
      <c r="G82" t="s">
        <v>197</v>
      </c>
    </row>
    <row r="83" spans="2:15" x14ac:dyDescent="0.25">
      <c r="B83" t="s">
        <v>185</v>
      </c>
      <c r="C83" s="55">
        <f>C66</f>
        <v>120.4</v>
      </c>
      <c r="D83" s="55">
        <f>C83</f>
        <v>120.4</v>
      </c>
      <c r="E83" s="72"/>
      <c r="G83" t="s">
        <v>198</v>
      </c>
    </row>
    <row r="84" spans="2:15" x14ac:dyDescent="0.25">
      <c r="B84" t="s">
        <v>199</v>
      </c>
      <c r="C84" s="55">
        <v>75</v>
      </c>
      <c r="D84" s="55">
        <f>C84*0.6</f>
        <v>45</v>
      </c>
      <c r="E84" s="72">
        <f>C84*0.4</f>
        <v>30</v>
      </c>
      <c r="G84" t="s">
        <v>200</v>
      </c>
    </row>
    <row r="85" spans="2:15" x14ac:dyDescent="0.25">
      <c r="B85" t="s">
        <v>201</v>
      </c>
      <c r="C85" s="55">
        <v>250</v>
      </c>
      <c r="D85" s="55">
        <f>C85*0.6</f>
        <v>150</v>
      </c>
      <c r="E85" s="72">
        <f>C85*0.4</f>
        <v>100</v>
      </c>
      <c r="G85" t="s">
        <v>202</v>
      </c>
    </row>
    <row r="86" spans="2:15" x14ac:dyDescent="0.25">
      <c r="B86" t="s">
        <v>187</v>
      </c>
      <c r="C86" s="55">
        <f>(C84+C85)*0.22</f>
        <v>71.5</v>
      </c>
      <c r="D86" s="55">
        <f t="shared" ref="D86:E86" si="6">(D84+D85)*0.22</f>
        <v>42.9</v>
      </c>
      <c r="E86" s="72">
        <f t="shared" si="6"/>
        <v>28.6</v>
      </c>
      <c r="G86" s="55" t="s">
        <v>203</v>
      </c>
      <c r="H86" s="55"/>
    </row>
    <row r="87" spans="2:15" ht="21" x14ac:dyDescent="0.35">
      <c r="B87" t="s">
        <v>190</v>
      </c>
      <c r="C87" s="73">
        <f>C81+C82-C83-C84-C85+C86</f>
        <v>1294.0999999999999</v>
      </c>
      <c r="D87" s="73">
        <f t="shared" ref="D87:E87" si="7">D81+D82-D83-D84-D85+D86</f>
        <v>1208.3</v>
      </c>
      <c r="E87" s="74">
        <f t="shared" si="7"/>
        <v>85.800000000000011</v>
      </c>
      <c r="G87" s="55"/>
      <c r="H87" s="55"/>
      <c r="K87" s="34"/>
      <c r="L87" s="34"/>
      <c r="M87" s="34"/>
      <c r="N87" s="34"/>
      <c r="O87" s="34"/>
    </row>
    <row r="88" spans="2:15" x14ac:dyDescent="0.25">
      <c r="C88" s="55"/>
      <c r="D88" s="55"/>
      <c r="E88" s="55"/>
      <c r="G88" s="75"/>
    </row>
    <row r="89" spans="2:15" x14ac:dyDescent="0.25">
      <c r="B89" s="1" t="s">
        <v>204</v>
      </c>
      <c r="C89" s="55"/>
      <c r="D89" s="55"/>
      <c r="E89" s="55"/>
    </row>
    <row r="90" spans="2:15" x14ac:dyDescent="0.25">
      <c r="B90" t="s">
        <v>225</v>
      </c>
      <c r="C90" s="55"/>
      <c r="D90" s="55">
        <f>-G25</f>
        <v>2150</v>
      </c>
      <c r="E90" s="55"/>
    </row>
    <row r="91" spans="2:15" x14ac:dyDescent="0.25">
      <c r="B91" t="s">
        <v>223</v>
      </c>
      <c r="C91" s="55"/>
      <c r="D91" s="55">
        <f>D87</f>
        <v>1208.3</v>
      </c>
      <c r="E91" s="55"/>
    </row>
    <row r="92" spans="2:15" ht="18.75" x14ac:dyDescent="0.3">
      <c r="B92" t="s">
        <v>226</v>
      </c>
      <c r="C92" s="55"/>
      <c r="D92" s="73">
        <f>SUM(D90:D91)</f>
        <v>3358.3</v>
      </c>
      <c r="E92" s="55"/>
      <c r="K92" s="50"/>
      <c r="L92" s="50"/>
      <c r="M92" s="50"/>
      <c r="N92" s="50"/>
      <c r="O92" s="50"/>
    </row>
  </sheetData>
  <mergeCells count="5">
    <mergeCell ref="E17:F17"/>
    <mergeCell ref="E34:H34"/>
    <mergeCell ref="E46:H46"/>
    <mergeCell ref="E47:F47"/>
    <mergeCell ref="G47:H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EE877-8518-48F3-B750-27CA4EF7AB7D}">
  <dimension ref="A1:O63"/>
  <sheetViews>
    <sheetView topLeftCell="A26" workbookViewId="0">
      <selection activeCell="B43" sqref="B43"/>
    </sheetView>
  </sheetViews>
  <sheetFormatPr baseColWidth="10" defaultRowHeight="15" x14ac:dyDescent="0.25"/>
  <cols>
    <col min="2" max="2" width="30.140625" bestFit="1" customWidth="1"/>
    <col min="11" max="11" width="45.85546875" bestFit="1" customWidth="1"/>
  </cols>
  <sheetData>
    <row r="1" spans="1:15" x14ac:dyDescent="0.25">
      <c r="A1" t="s">
        <v>57</v>
      </c>
      <c r="B1" s="1" t="s">
        <v>218</v>
      </c>
    </row>
    <row r="3" spans="1:15" x14ac:dyDescent="0.25">
      <c r="A3" s="1"/>
      <c r="C3" s="15" t="s">
        <v>65</v>
      </c>
      <c r="D3" s="15" t="s">
        <v>58</v>
      </c>
      <c r="E3" s="15" t="s">
        <v>59</v>
      </c>
    </row>
    <row r="4" spans="1:15" x14ac:dyDescent="0.25">
      <c r="C4" s="1"/>
      <c r="D4" s="76">
        <v>0.6</v>
      </c>
      <c r="E4" s="76">
        <v>0.4</v>
      </c>
    </row>
    <row r="5" spans="1:15" x14ac:dyDescent="0.25">
      <c r="B5" t="s">
        <v>30</v>
      </c>
      <c r="C5" s="77">
        <v>850</v>
      </c>
      <c r="D5" s="77">
        <f>C5*$D$4</f>
        <v>510</v>
      </c>
      <c r="E5" s="77">
        <f>C5*$E$4</f>
        <v>340</v>
      </c>
    </row>
    <row r="6" spans="1:15" x14ac:dyDescent="0.25">
      <c r="B6" t="s">
        <v>60</v>
      </c>
      <c r="C6" s="77">
        <v>1950</v>
      </c>
      <c r="D6" s="77">
        <f t="shared" ref="D6:D9" si="0">C6*$D$4</f>
        <v>1170</v>
      </c>
      <c r="E6" s="77">
        <f t="shared" ref="E6:E9" si="1">C6*$E$4</f>
        <v>780</v>
      </c>
    </row>
    <row r="7" spans="1:15" x14ac:dyDescent="0.25">
      <c r="B7" t="s">
        <v>66</v>
      </c>
      <c r="C7" s="77">
        <v>250</v>
      </c>
      <c r="D7" s="77">
        <f t="shared" si="0"/>
        <v>150</v>
      </c>
      <c r="E7" s="77">
        <f t="shared" si="1"/>
        <v>100</v>
      </c>
    </row>
    <row r="8" spans="1:15" x14ac:dyDescent="0.25">
      <c r="B8" t="s">
        <v>162</v>
      </c>
      <c r="C8" s="77">
        <v>750</v>
      </c>
      <c r="D8" s="77">
        <f t="shared" si="0"/>
        <v>450</v>
      </c>
      <c r="E8" s="77">
        <f t="shared" si="1"/>
        <v>300</v>
      </c>
    </row>
    <row r="9" spans="1:15" x14ac:dyDescent="0.25">
      <c r="B9" t="s">
        <v>205</v>
      </c>
      <c r="C9" s="78">
        <f>-(C7+C8)*0.22</f>
        <v>-220</v>
      </c>
      <c r="D9" s="78">
        <f t="shared" si="0"/>
        <v>-132</v>
      </c>
      <c r="E9" s="78">
        <f t="shared" si="1"/>
        <v>-88</v>
      </c>
    </row>
    <row r="10" spans="1:15" ht="18.75" x14ac:dyDescent="0.3">
      <c r="B10" t="s">
        <v>164</v>
      </c>
      <c r="C10" s="79">
        <v>3580</v>
      </c>
      <c r="D10" s="77">
        <v>2148</v>
      </c>
      <c r="E10" s="79">
        <v>1432</v>
      </c>
      <c r="L10" s="50"/>
      <c r="M10" s="50"/>
      <c r="N10" s="50"/>
      <c r="O10" s="50"/>
    </row>
    <row r="11" spans="1:15" x14ac:dyDescent="0.25">
      <c r="B11" t="s">
        <v>67</v>
      </c>
      <c r="C11" s="77"/>
      <c r="D11" s="78">
        <v>2750</v>
      </c>
      <c r="E11" s="77"/>
    </row>
    <row r="12" spans="1:15" ht="18.75" x14ac:dyDescent="0.3">
      <c r="B12" t="s">
        <v>68</v>
      </c>
      <c r="C12" s="77"/>
      <c r="D12" s="79">
        <f>D11-D10</f>
        <v>602</v>
      </c>
      <c r="E12" s="77"/>
      <c r="L12" s="50"/>
      <c r="M12" s="50"/>
      <c r="N12" s="50"/>
      <c r="O12" s="50"/>
    </row>
    <row r="13" spans="1:15" x14ac:dyDescent="0.25">
      <c r="C13" s="13"/>
      <c r="D13" s="4"/>
      <c r="E13" s="4"/>
    </row>
    <row r="14" spans="1:15" x14ac:dyDescent="0.25">
      <c r="A14" t="s">
        <v>81</v>
      </c>
      <c r="B14" s="1" t="s">
        <v>217</v>
      </c>
    </row>
    <row r="15" spans="1:15" x14ac:dyDescent="0.25">
      <c r="B15" s="80"/>
      <c r="C15" s="81" t="s">
        <v>165</v>
      </c>
      <c r="D15" s="81" t="s">
        <v>166</v>
      </c>
      <c r="E15" s="104" t="s">
        <v>167</v>
      </c>
      <c r="F15" s="105"/>
      <c r="G15" s="81" t="s">
        <v>168</v>
      </c>
      <c r="H15" s="15"/>
    </row>
    <row r="16" spans="1:15" x14ac:dyDescent="0.25">
      <c r="B16" s="82"/>
      <c r="C16" s="82"/>
      <c r="D16" s="82"/>
      <c r="E16" s="38" t="s">
        <v>105</v>
      </c>
      <c r="F16" s="37" t="s">
        <v>106</v>
      </c>
      <c r="G16" s="82"/>
      <c r="H16" s="15"/>
    </row>
    <row r="17" spans="1:15" x14ac:dyDescent="0.25">
      <c r="B17" s="40" t="s">
        <v>68</v>
      </c>
      <c r="C17" s="83"/>
      <c r="D17" s="83"/>
      <c r="E17" s="62">
        <f>D12</f>
        <v>602</v>
      </c>
      <c r="F17" s="84"/>
      <c r="G17" s="44">
        <f>E17</f>
        <v>602</v>
      </c>
      <c r="H17" s="15"/>
    </row>
    <row r="18" spans="1:15" x14ac:dyDescent="0.25">
      <c r="B18" s="40" t="s">
        <v>206</v>
      </c>
      <c r="C18" s="48">
        <v>4150</v>
      </c>
      <c r="D18" s="48">
        <v>3650</v>
      </c>
      <c r="E18" s="31">
        <f>C8</f>
        <v>750</v>
      </c>
      <c r="F18" s="48"/>
      <c r="G18" s="48">
        <f>C18+D18+E18</f>
        <v>8550</v>
      </c>
      <c r="J18" s="12"/>
      <c r="K18" s="12"/>
    </row>
    <row r="19" spans="1:15" x14ac:dyDescent="0.25">
      <c r="B19" s="40" t="s">
        <v>61</v>
      </c>
      <c r="C19" s="48">
        <v>2750</v>
      </c>
      <c r="D19" s="48"/>
      <c r="E19" s="62"/>
      <c r="F19" s="48">
        <f>C19</f>
        <v>2750</v>
      </c>
      <c r="G19" s="48"/>
    </row>
    <row r="20" spans="1:15" x14ac:dyDescent="0.25">
      <c r="B20" s="40" t="s">
        <v>22</v>
      </c>
      <c r="C20" s="48">
        <v>1580</v>
      </c>
      <c r="D20" s="48">
        <v>1800</v>
      </c>
      <c r="E20" s="62">
        <f>C7</f>
        <v>250</v>
      </c>
      <c r="F20" s="48"/>
      <c r="G20" s="48">
        <f>C20+D20+E20</f>
        <v>3630</v>
      </c>
    </row>
    <row r="21" spans="1:15" ht="18.75" x14ac:dyDescent="0.3">
      <c r="B21" s="51" t="s">
        <v>27</v>
      </c>
      <c r="C21" s="53">
        <f>SUM(C18:C20)</f>
        <v>8480</v>
      </c>
      <c r="D21" s="53">
        <f>SUM(D18:D20)</f>
        <v>5450</v>
      </c>
      <c r="E21" s="62"/>
      <c r="F21" s="48"/>
      <c r="G21" s="53">
        <f>SUM(G17:G20)</f>
        <v>12782</v>
      </c>
      <c r="L21" s="50"/>
      <c r="M21" s="50"/>
      <c r="N21" s="50"/>
      <c r="O21" s="50"/>
    </row>
    <row r="22" spans="1:15" x14ac:dyDescent="0.25">
      <c r="B22" s="40" t="s">
        <v>30</v>
      </c>
      <c r="C22" s="48">
        <v>1300</v>
      </c>
      <c r="D22" s="48">
        <v>850</v>
      </c>
      <c r="E22" s="62">
        <f>D22</f>
        <v>850</v>
      </c>
      <c r="F22" s="48"/>
      <c r="G22" s="48">
        <f>C22</f>
        <v>1300</v>
      </c>
    </row>
    <row r="23" spans="1:15" x14ac:dyDescent="0.25">
      <c r="B23" s="40" t="s">
        <v>60</v>
      </c>
      <c r="C23" s="48">
        <v>2150</v>
      </c>
      <c r="D23" s="48">
        <v>1950</v>
      </c>
      <c r="E23" s="62">
        <f>D23</f>
        <v>1950</v>
      </c>
      <c r="F23" s="48"/>
      <c r="G23" s="48">
        <f>C23</f>
        <v>2150</v>
      </c>
    </row>
    <row r="24" spans="1:15" x14ac:dyDescent="0.25">
      <c r="B24" s="40" t="s">
        <v>172</v>
      </c>
      <c r="C24" s="48"/>
      <c r="D24" s="48"/>
      <c r="E24" s="62"/>
      <c r="F24" s="48">
        <f>E10</f>
        <v>1432</v>
      </c>
      <c r="G24" s="48">
        <f>F24</f>
        <v>1432</v>
      </c>
    </row>
    <row r="25" spans="1:15" x14ac:dyDescent="0.25">
      <c r="B25" s="40" t="s">
        <v>173</v>
      </c>
      <c r="C25" s="48">
        <v>250</v>
      </c>
      <c r="D25" s="48">
        <v>100</v>
      </c>
      <c r="E25" s="62"/>
      <c r="F25" s="48">
        <f>-C9</f>
        <v>220</v>
      </c>
      <c r="G25" s="48">
        <f>C25+D25+F25</f>
        <v>570</v>
      </c>
    </row>
    <row r="26" spans="1:15" x14ac:dyDescent="0.25">
      <c r="B26" s="40" t="s">
        <v>174</v>
      </c>
      <c r="C26" s="48">
        <v>4780</v>
      </c>
      <c r="D26" s="48">
        <v>2550</v>
      </c>
      <c r="E26" s="62"/>
      <c r="F26" s="48"/>
      <c r="G26" s="48">
        <f>D26+C26</f>
        <v>7330</v>
      </c>
    </row>
    <row r="27" spans="1:15" ht="18.75" x14ac:dyDescent="0.3">
      <c r="B27" s="51" t="s">
        <v>41</v>
      </c>
      <c r="C27" s="53">
        <f>SUM(C22:C26)</f>
        <v>8480</v>
      </c>
      <c r="D27" s="53">
        <f>SUM(D22:D26)</f>
        <v>5450</v>
      </c>
      <c r="E27" s="53">
        <f>SUM(E17:E26)</f>
        <v>4402</v>
      </c>
      <c r="F27" s="53">
        <f>SUM(F17:F26)</f>
        <v>4402</v>
      </c>
      <c r="G27" s="53">
        <f>SUM(G22:G26)</f>
        <v>12782</v>
      </c>
      <c r="L27" s="50"/>
      <c r="M27" s="50"/>
      <c r="N27" s="85"/>
      <c r="O27" s="50"/>
    </row>
    <row r="29" spans="1:15" x14ac:dyDescent="0.25">
      <c r="C29" s="56"/>
    </row>
    <row r="30" spans="1:15" x14ac:dyDescent="0.25">
      <c r="A30" t="s">
        <v>81</v>
      </c>
      <c r="B30" s="1" t="s">
        <v>219</v>
      </c>
    </row>
    <row r="31" spans="1:15" x14ac:dyDescent="0.25">
      <c r="F31" s="57"/>
    </row>
    <row r="32" spans="1:15" x14ac:dyDescent="0.25">
      <c r="B32" s="80" t="s">
        <v>149</v>
      </c>
      <c r="C32" s="81" t="s">
        <v>165</v>
      </c>
      <c r="D32" s="81" t="s">
        <v>166</v>
      </c>
      <c r="E32" s="104" t="s">
        <v>178</v>
      </c>
      <c r="F32" s="105"/>
      <c r="G32" s="104" t="s">
        <v>167</v>
      </c>
      <c r="H32" s="105"/>
      <c r="I32" s="81" t="s">
        <v>168</v>
      </c>
    </row>
    <row r="33" spans="2:15" x14ac:dyDescent="0.25">
      <c r="B33" s="82"/>
      <c r="C33" s="82"/>
      <c r="D33" s="82"/>
      <c r="E33" s="38" t="s">
        <v>105</v>
      </c>
      <c r="F33" s="37" t="s">
        <v>106</v>
      </c>
      <c r="G33" s="37" t="s">
        <v>105</v>
      </c>
      <c r="H33" s="37" t="s">
        <v>106</v>
      </c>
      <c r="I33" s="82"/>
      <c r="K33" t="s">
        <v>185</v>
      </c>
      <c r="M33" s="86">
        <f>E17/5</f>
        <v>120.4</v>
      </c>
    </row>
    <row r="34" spans="2:15" x14ac:dyDescent="0.25">
      <c r="B34" s="40" t="s">
        <v>175</v>
      </c>
      <c r="C34" s="48">
        <v>12000</v>
      </c>
      <c r="D34" s="48">
        <v>8000</v>
      </c>
      <c r="E34" s="58"/>
      <c r="F34" s="48"/>
      <c r="G34" s="48">
        <v>500</v>
      </c>
      <c r="H34" s="48"/>
      <c r="I34" s="48">
        <f>C34+D34-G34</f>
        <v>19500</v>
      </c>
      <c r="K34" t="s">
        <v>207</v>
      </c>
      <c r="M34" s="86">
        <f>C8/10</f>
        <v>75</v>
      </c>
    </row>
    <row r="35" spans="2:15" x14ac:dyDescent="0.25">
      <c r="B35" s="40" t="s">
        <v>4</v>
      </c>
      <c r="C35" s="48">
        <v>8500</v>
      </c>
      <c r="D35" s="48">
        <v>6000</v>
      </c>
      <c r="E35" s="48"/>
      <c r="F35" s="48"/>
      <c r="G35" s="48">
        <v>250</v>
      </c>
      <c r="H35" s="48">
        <v>500</v>
      </c>
      <c r="I35" s="48">
        <f>C35+D35-H35+G35</f>
        <v>14250</v>
      </c>
      <c r="K35" t="s">
        <v>208</v>
      </c>
      <c r="M35" s="87">
        <v>250</v>
      </c>
    </row>
    <row r="36" spans="2:15" x14ac:dyDescent="0.25">
      <c r="B36" s="40" t="s">
        <v>63</v>
      </c>
      <c r="C36" s="48">
        <v>700</v>
      </c>
      <c r="D36" s="48">
        <v>500</v>
      </c>
      <c r="E36" s="48"/>
      <c r="F36" s="48"/>
      <c r="G36" s="65">
        <f>H44+H45</f>
        <v>195.4</v>
      </c>
      <c r="H36" s="48"/>
      <c r="I36" s="48">
        <f>C36+D36+G36</f>
        <v>1395.4</v>
      </c>
      <c r="K36" s="28" t="s">
        <v>209</v>
      </c>
      <c r="M36" s="88">
        <f>(M34*0.22)+(M35*0.22)</f>
        <v>71.5</v>
      </c>
      <c r="N36" t="s">
        <v>210</v>
      </c>
    </row>
    <row r="37" spans="2:15" x14ac:dyDescent="0.25">
      <c r="B37" s="40" t="s">
        <v>7</v>
      </c>
      <c r="C37" s="48">
        <v>1260</v>
      </c>
      <c r="D37" s="48">
        <v>900</v>
      </c>
      <c r="E37" s="48"/>
      <c r="F37" s="48"/>
      <c r="G37" s="48"/>
      <c r="H37" s="48"/>
      <c r="I37" s="48">
        <f>C37+D37</f>
        <v>2160</v>
      </c>
      <c r="L37" s="4"/>
    </row>
    <row r="38" spans="2:15" x14ac:dyDescent="0.25">
      <c r="B38" s="51" t="s">
        <v>8</v>
      </c>
      <c r="C38" s="53">
        <f>C34-C35-C36-C37</f>
        <v>1540</v>
      </c>
      <c r="D38" s="53">
        <f>D34-D35-D36-D37</f>
        <v>600</v>
      </c>
      <c r="E38" s="53"/>
      <c r="F38" s="53"/>
      <c r="G38" s="53"/>
      <c r="H38" s="53"/>
      <c r="I38" s="53">
        <f>I34-I35-I36-I37</f>
        <v>1694.6</v>
      </c>
      <c r="K38" s="1"/>
      <c r="L38" s="13"/>
    </row>
    <row r="39" spans="2:15" x14ac:dyDescent="0.25">
      <c r="B39" s="40" t="s">
        <v>15</v>
      </c>
      <c r="C39" s="48">
        <v>340</v>
      </c>
      <c r="D39" s="48">
        <f>D38*0.22</f>
        <v>132</v>
      </c>
      <c r="E39" s="48"/>
      <c r="F39" s="48"/>
      <c r="G39" s="48"/>
      <c r="H39" s="48">
        <f>G52</f>
        <v>71.5</v>
      </c>
      <c r="I39" s="48">
        <f>C39+D39-H39</f>
        <v>400.5</v>
      </c>
      <c r="L39" s="13"/>
    </row>
    <row r="40" spans="2:15" x14ac:dyDescent="0.25">
      <c r="B40" s="51" t="s">
        <v>16</v>
      </c>
      <c r="C40" s="53">
        <f>C38-C39</f>
        <v>1200</v>
      </c>
      <c r="D40" s="53">
        <f>D38-D39</f>
        <v>468</v>
      </c>
      <c r="E40" s="53"/>
      <c r="F40" s="53"/>
      <c r="G40" s="53"/>
      <c r="H40" s="53"/>
      <c r="I40" s="53">
        <f>I38-I39</f>
        <v>1294.0999999999999</v>
      </c>
      <c r="L40" s="13"/>
    </row>
    <row r="41" spans="2:15" x14ac:dyDescent="0.25">
      <c r="B41" s="51" t="s">
        <v>211</v>
      </c>
      <c r="C41" s="53"/>
      <c r="D41" s="53"/>
      <c r="E41" s="53"/>
      <c r="F41" s="53"/>
      <c r="G41" s="53"/>
      <c r="H41" s="53"/>
      <c r="I41" s="53">
        <f>D63</f>
        <v>85.800000000000011</v>
      </c>
      <c r="L41" s="13"/>
    </row>
    <row r="42" spans="2:15" x14ac:dyDescent="0.25">
      <c r="B42" s="51" t="s">
        <v>212</v>
      </c>
      <c r="C42" s="53">
        <f>C40</f>
        <v>1200</v>
      </c>
      <c r="D42" s="53">
        <f>D40</f>
        <v>468</v>
      </c>
      <c r="E42" s="53"/>
      <c r="F42" s="53"/>
      <c r="G42" s="53"/>
      <c r="H42" s="89">
        <f>C42+D42-I42</f>
        <v>459.70000000000005</v>
      </c>
      <c r="I42" s="53">
        <f>C63</f>
        <v>1208.3</v>
      </c>
      <c r="L42" s="13"/>
    </row>
    <row r="43" spans="2:15" ht="18.75" x14ac:dyDescent="0.3">
      <c r="B43" s="36" t="s">
        <v>220</v>
      </c>
      <c r="C43" s="53"/>
      <c r="D43" s="53"/>
      <c r="E43" s="53"/>
      <c r="F43" s="53"/>
      <c r="G43" s="53"/>
      <c r="H43" s="53"/>
      <c r="I43" s="53"/>
      <c r="J43" s="50"/>
      <c r="K43" s="50"/>
      <c r="L43" s="50"/>
      <c r="M43" s="50"/>
      <c r="N43" s="50"/>
      <c r="O43" s="50"/>
    </row>
    <row r="44" spans="2:15" x14ac:dyDescent="0.25">
      <c r="B44" s="40" t="s">
        <v>68</v>
      </c>
      <c r="C44" s="48"/>
      <c r="D44" s="48"/>
      <c r="E44" s="62">
        <v>602</v>
      </c>
      <c r="F44" s="84"/>
      <c r="G44" s="48"/>
      <c r="H44" s="48">
        <f>M33</f>
        <v>120.4</v>
      </c>
      <c r="I44" s="48">
        <f>E44-H44</f>
        <v>481.6</v>
      </c>
    </row>
    <row r="45" spans="2:15" x14ac:dyDescent="0.25">
      <c r="B45" s="40" t="s">
        <v>169</v>
      </c>
      <c r="C45" s="48">
        <v>4830</v>
      </c>
      <c r="D45" s="48">
        <v>3200</v>
      </c>
      <c r="E45" s="31">
        <v>750</v>
      </c>
      <c r="F45" s="48"/>
      <c r="G45" s="48"/>
      <c r="H45" s="48">
        <f>M34</f>
        <v>75</v>
      </c>
      <c r="I45" s="48">
        <f>C45+D45+E45-H45</f>
        <v>8705</v>
      </c>
    </row>
    <row r="46" spans="2:15" x14ac:dyDescent="0.25">
      <c r="B46" s="40" t="s">
        <v>61</v>
      </c>
      <c r="C46" s="48">
        <f>C19</f>
        <v>2750</v>
      </c>
      <c r="D46" s="48"/>
      <c r="E46" s="62"/>
      <c r="F46" s="48">
        <v>2750</v>
      </c>
      <c r="G46" s="48"/>
      <c r="H46" s="48"/>
      <c r="I46" s="48"/>
    </row>
    <row r="47" spans="2:15" x14ac:dyDescent="0.25">
      <c r="B47" s="40" t="s">
        <v>22</v>
      </c>
      <c r="C47" s="48">
        <v>1500</v>
      </c>
      <c r="D47" s="48">
        <v>1930</v>
      </c>
      <c r="E47" s="62">
        <v>250</v>
      </c>
      <c r="F47" s="48"/>
      <c r="G47" s="48"/>
      <c r="H47" s="48">
        <v>250</v>
      </c>
      <c r="I47" s="48">
        <f>C47+D47-H47+E47</f>
        <v>3430</v>
      </c>
    </row>
    <row r="48" spans="2:15" ht="18.75" x14ac:dyDescent="0.3">
      <c r="B48" s="51" t="s">
        <v>27</v>
      </c>
      <c r="C48" s="53">
        <f>SUM(C45:C47)</f>
        <v>9080</v>
      </c>
      <c r="D48" s="53">
        <f>SUM(D45:D47)</f>
        <v>5130</v>
      </c>
      <c r="E48" s="62"/>
      <c r="F48" s="48"/>
      <c r="G48" s="48"/>
      <c r="H48" s="48"/>
      <c r="I48" s="53">
        <f>SUM(I44:I47)</f>
        <v>12616.6</v>
      </c>
      <c r="L48" s="50"/>
      <c r="M48" s="50"/>
      <c r="N48" s="50"/>
      <c r="O48" s="50"/>
    </row>
    <row r="49" spans="2:15" x14ac:dyDescent="0.25">
      <c r="B49" s="40" t="s">
        <v>30</v>
      </c>
      <c r="C49" s="48">
        <f>C22</f>
        <v>1300</v>
      </c>
      <c r="D49" s="48">
        <v>850</v>
      </c>
      <c r="E49" s="62">
        <v>850</v>
      </c>
      <c r="F49" s="48"/>
      <c r="G49" s="48"/>
      <c r="H49" s="48"/>
      <c r="I49" s="48">
        <f>C49+D49-E49</f>
        <v>1300</v>
      </c>
    </row>
    <row r="50" spans="2:15" x14ac:dyDescent="0.25">
      <c r="B50" s="40" t="s">
        <v>60</v>
      </c>
      <c r="C50" s="48">
        <f>C40+C23</f>
        <v>3350</v>
      </c>
      <c r="D50" s="48">
        <f>D40+D23</f>
        <v>2418</v>
      </c>
      <c r="E50" s="62">
        <v>1950</v>
      </c>
      <c r="F50" s="48"/>
      <c r="G50" s="48">
        <f>H42</f>
        <v>459.70000000000005</v>
      </c>
      <c r="H50" s="48"/>
      <c r="I50" s="48">
        <f>C50+D50-E50-G50</f>
        <v>3358.3</v>
      </c>
    </row>
    <row r="51" spans="2:15" x14ac:dyDescent="0.25">
      <c r="B51" s="40" t="s">
        <v>172</v>
      </c>
      <c r="C51" s="48"/>
      <c r="D51" s="48"/>
      <c r="E51" s="62"/>
      <c r="F51" s="48">
        <v>1432</v>
      </c>
      <c r="G51" s="48"/>
      <c r="H51" s="48">
        <v>85.8</v>
      </c>
      <c r="I51" s="48">
        <f>F51+H51</f>
        <v>1517.8</v>
      </c>
    </row>
    <row r="52" spans="2:15" x14ac:dyDescent="0.25">
      <c r="B52" s="40" t="s">
        <v>173</v>
      </c>
      <c r="C52" s="48">
        <v>270</v>
      </c>
      <c r="D52" s="48">
        <v>80</v>
      </c>
      <c r="E52" s="62"/>
      <c r="F52" s="48">
        <v>220</v>
      </c>
      <c r="G52" s="48">
        <f>M36</f>
        <v>71.5</v>
      </c>
      <c r="H52" s="48"/>
      <c r="I52" s="48">
        <f>C52+D52+F52-G52</f>
        <v>498.5</v>
      </c>
    </row>
    <row r="53" spans="2:15" x14ac:dyDescent="0.25">
      <c r="B53" s="40" t="s">
        <v>174</v>
      </c>
      <c r="C53" s="48">
        <v>4160</v>
      </c>
      <c r="D53" s="48">
        <v>1782</v>
      </c>
      <c r="E53" s="62"/>
      <c r="F53" s="48"/>
      <c r="G53" s="48"/>
      <c r="H53" s="48"/>
      <c r="I53" s="48">
        <f>C53+D53</f>
        <v>5942</v>
      </c>
    </row>
    <row r="54" spans="2:15" ht="18.75" x14ac:dyDescent="0.3">
      <c r="B54" s="51" t="s">
        <v>41</v>
      </c>
      <c r="C54" s="53">
        <f>SUM(C49:C53)</f>
        <v>9080</v>
      </c>
      <c r="D54" s="53">
        <f>SUM(D49:D53)</f>
        <v>5130</v>
      </c>
      <c r="E54" s="53">
        <f>SUM(E44:E53)</f>
        <v>4402</v>
      </c>
      <c r="F54" s="53">
        <f>SUM(F44:F53)</f>
        <v>4402</v>
      </c>
      <c r="G54" s="53">
        <f>SUM(G44:G53)</f>
        <v>531.20000000000005</v>
      </c>
      <c r="H54" s="53">
        <f>SUM(H44:H53)</f>
        <v>531.19999999999993</v>
      </c>
      <c r="I54" s="53">
        <f>SUM(I49:I53)</f>
        <v>12616.6</v>
      </c>
      <c r="J54" s="12"/>
      <c r="L54" s="50"/>
      <c r="M54" s="50"/>
      <c r="N54" s="50"/>
      <c r="O54" s="50"/>
    </row>
    <row r="55" spans="2:15" x14ac:dyDescent="0.25">
      <c r="E55" s="90"/>
      <c r="F55" s="90"/>
      <c r="G55" s="90"/>
      <c r="H55" s="90"/>
      <c r="I55" s="90"/>
    </row>
    <row r="56" spans="2:15" x14ac:dyDescent="0.25">
      <c r="B56" s="1" t="s">
        <v>213</v>
      </c>
      <c r="C56" s="91">
        <v>0.6</v>
      </c>
      <c r="D56" s="91">
        <v>0.4</v>
      </c>
      <c r="E56" s="91">
        <v>1</v>
      </c>
    </row>
    <row r="57" spans="2:15" x14ac:dyDescent="0.25">
      <c r="B57" t="s">
        <v>214</v>
      </c>
      <c r="C57" s="46">
        <f>C42</f>
        <v>1200</v>
      </c>
      <c r="D57" s="46"/>
      <c r="E57" s="46">
        <f>C57</f>
        <v>1200</v>
      </c>
    </row>
    <row r="58" spans="2:15" x14ac:dyDescent="0.25">
      <c r="B58" t="s">
        <v>215</v>
      </c>
      <c r="C58" s="46">
        <f>E58*C56</f>
        <v>280.8</v>
      </c>
      <c r="D58" s="46">
        <f>E58*D56</f>
        <v>187.20000000000002</v>
      </c>
      <c r="E58" s="46">
        <f>D42</f>
        <v>468</v>
      </c>
    </row>
    <row r="59" spans="2:15" x14ac:dyDescent="0.25">
      <c r="B59" t="s">
        <v>185</v>
      </c>
      <c r="C59" s="46">
        <f>E59</f>
        <v>-120.4</v>
      </c>
      <c r="D59" s="46"/>
      <c r="E59" s="46">
        <f>-M33</f>
        <v>-120.4</v>
      </c>
    </row>
    <row r="60" spans="2:15" x14ac:dyDescent="0.25">
      <c r="B60" t="s">
        <v>216</v>
      </c>
      <c r="C60" s="46">
        <f>E60*C56</f>
        <v>-45</v>
      </c>
      <c r="D60" s="46">
        <f>E60*D56</f>
        <v>-30</v>
      </c>
      <c r="E60" s="46">
        <f>-M34</f>
        <v>-75</v>
      </c>
    </row>
    <row r="61" spans="2:15" x14ac:dyDescent="0.25">
      <c r="B61" t="s">
        <v>208</v>
      </c>
      <c r="C61" s="46">
        <f>E61*C56</f>
        <v>-150</v>
      </c>
      <c r="D61" s="46">
        <f>E61*D56</f>
        <v>-100</v>
      </c>
      <c r="E61" s="46">
        <v>-250</v>
      </c>
    </row>
    <row r="62" spans="2:15" x14ac:dyDescent="0.25">
      <c r="B62" t="s">
        <v>187</v>
      </c>
      <c r="C62" s="46">
        <f>E62*C56</f>
        <v>42.9</v>
      </c>
      <c r="D62" s="46">
        <f>E62*D56</f>
        <v>28.6</v>
      </c>
      <c r="E62" s="46">
        <f>M36</f>
        <v>71.5</v>
      </c>
    </row>
    <row r="63" spans="2:15" ht="18.75" x14ac:dyDescent="0.3">
      <c r="B63" s="92" t="s">
        <v>213</v>
      </c>
      <c r="C63" s="93">
        <f>SUM(C57:C62)</f>
        <v>1208.3</v>
      </c>
      <c r="D63" s="93">
        <f>SUM(D58:D62)</f>
        <v>85.800000000000011</v>
      </c>
      <c r="E63" s="93">
        <f>SUM(E57:E62)</f>
        <v>1294.0999999999999</v>
      </c>
      <c r="F63" s="94"/>
      <c r="L63" s="50"/>
      <c r="M63" s="50"/>
      <c r="N63" s="50"/>
      <c r="O63" s="50"/>
    </row>
  </sheetData>
  <mergeCells count="3">
    <mergeCell ref="E15:F15"/>
    <mergeCell ref="E32:F32"/>
    <mergeCell ref="G32:H3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F5003-9FAC-4004-9EBC-40F3993F3B3B}">
  <dimension ref="A1:E16"/>
  <sheetViews>
    <sheetView workbookViewId="0">
      <selection activeCell="H21" sqref="H21"/>
    </sheetView>
  </sheetViews>
  <sheetFormatPr baseColWidth="10" defaultRowHeight="15" x14ac:dyDescent="0.25"/>
  <cols>
    <col min="1" max="1" width="28.7109375" bestFit="1" customWidth="1"/>
  </cols>
  <sheetData>
    <row r="1" spans="1:5" s="1" customFormat="1" x14ac:dyDescent="0.25">
      <c r="A1" s="1" t="s">
        <v>112</v>
      </c>
    </row>
    <row r="2" spans="1:5" x14ac:dyDescent="0.25">
      <c r="A2" s="15" t="s">
        <v>113</v>
      </c>
      <c r="B2" s="15" t="s">
        <v>114</v>
      </c>
      <c r="C2" s="15" t="s">
        <v>115</v>
      </c>
      <c r="D2" s="15" t="s">
        <v>117</v>
      </c>
      <c r="E2" s="15" t="s">
        <v>119</v>
      </c>
    </row>
    <row r="3" spans="1:5" x14ac:dyDescent="0.25">
      <c r="A3" s="15"/>
      <c r="B3" s="15"/>
      <c r="C3" s="15" t="s">
        <v>116</v>
      </c>
      <c r="D3" s="15" t="s">
        <v>118</v>
      </c>
      <c r="E3" s="15" t="s">
        <v>120</v>
      </c>
    </row>
    <row r="4" spans="1:5" x14ac:dyDescent="0.25">
      <c r="A4" t="s">
        <v>121</v>
      </c>
      <c r="B4" s="4">
        <v>4500</v>
      </c>
      <c r="C4">
        <v>100</v>
      </c>
      <c r="D4" s="4">
        <v>1500000</v>
      </c>
      <c r="E4" s="19">
        <v>43225</v>
      </c>
    </row>
    <row r="6" spans="1:5" s="1" customFormat="1" x14ac:dyDescent="0.25">
      <c r="A6" s="1" t="s">
        <v>111</v>
      </c>
    </row>
    <row r="7" spans="1:5" x14ac:dyDescent="0.25">
      <c r="B7" s="15" t="s">
        <v>102</v>
      </c>
      <c r="C7" s="15" t="s">
        <v>70</v>
      </c>
      <c r="D7" s="15" t="s">
        <v>101</v>
      </c>
      <c r="E7" s="15" t="s">
        <v>73</v>
      </c>
    </row>
    <row r="8" spans="1:5" x14ac:dyDescent="0.25">
      <c r="A8" s="1" t="s">
        <v>266</v>
      </c>
    </row>
    <row r="9" spans="1:5" x14ac:dyDescent="0.25">
      <c r="A9" t="s">
        <v>97</v>
      </c>
      <c r="B9" t="s">
        <v>110</v>
      </c>
      <c r="C9">
        <v>800</v>
      </c>
      <c r="D9">
        <v>150</v>
      </c>
      <c r="E9" s="4">
        <f>C9*D9</f>
        <v>120000</v>
      </c>
    </row>
    <row r="10" spans="1:5" x14ac:dyDescent="0.25">
      <c r="A10" t="s">
        <v>98</v>
      </c>
      <c r="B10" t="s">
        <v>104</v>
      </c>
      <c r="C10">
        <v>700</v>
      </c>
      <c r="D10">
        <v>170</v>
      </c>
      <c r="E10" s="4">
        <f t="shared" ref="E10:E16" si="0">C10*D10</f>
        <v>119000</v>
      </c>
    </row>
    <row r="11" spans="1:5" x14ac:dyDescent="0.25">
      <c r="A11" t="s">
        <v>99</v>
      </c>
      <c r="B11" t="s">
        <v>103</v>
      </c>
      <c r="C11">
        <v>500</v>
      </c>
      <c r="D11">
        <v>160</v>
      </c>
      <c r="E11" s="4">
        <f t="shared" si="0"/>
        <v>80000</v>
      </c>
    </row>
    <row r="12" spans="1:5" x14ac:dyDescent="0.25">
      <c r="E12" s="4"/>
    </row>
    <row r="13" spans="1:5" x14ac:dyDescent="0.25">
      <c r="A13" s="1" t="s">
        <v>267</v>
      </c>
      <c r="E13" s="4"/>
    </row>
    <row r="14" spans="1:5" x14ac:dyDescent="0.25">
      <c r="A14" t="s">
        <v>98</v>
      </c>
      <c r="B14" t="s">
        <v>104</v>
      </c>
      <c r="C14">
        <v>450</v>
      </c>
      <c r="D14">
        <v>85</v>
      </c>
      <c r="E14" s="4">
        <f t="shared" si="0"/>
        <v>38250</v>
      </c>
    </row>
    <row r="15" spans="1:5" x14ac:dyDescent="0.25">
      <c r="A15" t="s">
        <v>99</v>
      </c>
      <c r="B15" t="s">
        <v>103</v>
      </c>
      <c r="C15">
        <v>400</v>
      </c>
      <c r="D15">
        <v>70</v>
      </c>
      <c r="E15" s="4">
        <f t="shared" si="0"/>
        <v>28000</v>
      </c>
    </row>
    <row r="16" spans="1:5" x14ac:dyDescent="0.25">
      <c r="A16" t="s">
        <v>100</v>
      </c>
      <c r="B16" t="s">
        <v>104</v>
      </c>
      <c r="C16">
        <v>300</v>
      </c>
      <c r="D16">
        <v>65</v>
      </c>
      <c r="E16" s="4">
        <f t="shared" si="0"/>
        <v>19500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A1CB1-DBB7-4D46-AF65-FF30A2B6D48A}">
  <dimension ref="A2:K26"/>
  <sheetViews>
    <sheetView workbookViewId="0">
      <selection activeCell="A19" sqref="A19"/>
    </sheetView>
  </sheetViews>
  <sheetFormatPr baseColWidth="10" defaultRowHeight="15" x14ac:dyDescent="0.25"/>
  <sheetData>
    <row r="2" spans="1:8" x14ac:dyDescent="0.25">
      <c r="A2" s="1" t="s">
        <v>57</v>
      </c>
    </row>
    <row r="3" spans="1:8" x14ac:dyDescent="0.25">
      <c r="A3" t="s">
        <v>126</v>
      </c>
    </row>
    <row r="4" spans="1:8" x14ac:dyDescent="0.25">
      <c r="A4" t="s">
        <v>122</v>
      </c>
    </row>
    <row r="5" spans="1:8" x14ac:dyDescent="0.25">
      <c r="A5" t="s">
        <v>123</v>
      </c>
    </row>
    <row r="7" spans="1:8" x14ac:dyDescent="0.25">
      <c r="A7" t="s">
        <v>127</v>
      </c>
    </row>
    <row r="8" spans="1:8" x14ac:dyDescent="0.25">
      <c r="A8" t="s">
        <v>128</v>
      </c>
    </row>
    <row r="10" spans="1:8" ht="15.75" x14ac:dyDescent="0.25">
      <c r="A10" s="20" t="s">
        <v>81</v>
      </c>
    </row>
    <row r="11" spans="1:8" x14ac:dyDescent="0.25">
      <c r="A11" t="s">
        <v>271</v>
      </c>
    </row>
    <row r="12" spans="1:8" x14ac:dyDescent="0.25">
      <c r="A12" t="s">
        <v>124</v>
      </c>
    </row>
    <row r="13" spans="1:8" x14ac:dyDescent="0.25">
      <c r="A13" t="s">
        <v>125</v>
      </c>
    </row>
    <row r="15" spans="1:8" x14ac:dyDescent="0.25">
      <c r="A15" s="1" t="s">
        <v>90</v>
      </c>
    </row>
    <row r="16" spans="1:8" x14ac:dyDescent="0.25">
      <c r="A16" s="15" t="s">
        <v>62</v>
      </c>
      <c r="B16" s="15"/>
      <c r="C16" s="15"/>
      <c r="D16" s="15"/>
      <c r="E16" s="15"/>
      <c r="F16" s="15" t="s">
        <v>105</v>
      </c>
      <c r="G16" s="15" t="s">
        <v>106</v>
      </c>
      <c r="H16" s="15"/>
    </row>
    <row r="17" spans="1:11" x14ac:dyDescent="0.25">
      <c r="A17" s="15" t="s">
        <v>107</v>
      </c>
      <c r="B17" s="15"/>
      <c r="C17" s="15"/>
      <c r="D17" s="15"/>
      <c r="E17" s="15"/>
      <c r="F17" s="15"/>
      <c r="G17" s="15"/>
      <c r="H17" s="15"/>
    </row>
    <row r="18" spans="1:11" x14ac:dyDescent="0.25">
      <c r="A18" t="s">
        <v>268</v>
      </c>
      <c r="F18" s="4">
        <f>'Oppgave 4'!E9</f>
        <v>120000</v>
      </c>
      <c r="G18" s="4"/>
      <c r="H18" s="4"/>
    </row>
    <row r="19" spans="1:11" x14ac:dyDescent="0.25">
      <c r="A19" t="s">
        <v>269</v>
      </c>
      <c r="F19" s="4">
        <f>'Oppgave 4'!E10</f>
        <v>119000</v>
      </c>
      <c r="G19" s="4"/>
      <c r="H19" s="4"/>
    </row>
    <row r="20" spans="1:11" x14ac:dyDescent="0.25">
      <c r="A20" t="s">
        <v>272</v>
      </c>
      <c r="F20" s="4">
        <f>'Oppgave 4'!E14</f>
        <v>38250</v>
      </c>
      <c r="G20" s="4"/>
      <c r="H20" s="4"/>
    </row>
    <row r="21" spans="1:11" x14ac:dyDescent="0.25">
      <c r="A21" t="s">
        <v>270</v>
      </c>
      <c r="F21" s="4"/>
      <c r="G21" s="4">
        <f>'Oppgave 4'!E11</f>
        <v>80000</v>
      </c>
      <c r="H21" s="4"/>
      <c r="K21" s="12"/>
    </row>
    <row r="22" spans="1:11" x14ac:dyDescent="0.25">
      <c r="A22" t="s">
        <v>273</v>
      </c>
      <c r="F22" s="4"/>
      <c r="G22" s="4">
        <f>'Oppgave 4'!E15</f>
        <v>28000</v>
      </c>
      <c r="H22" s="4"/>
      <c r="K22" s="12"/>
    </row>
    <row r="23" spans="1:11" x14ac:dyDescent="0.25">
      <c r="A23" t="s">
        <v>274</v>
      </c>
      <c r="F23" s="2">
        <f>'Oppgave 4'!E16</f>
        <v>19500</v>
      </c>
      <c r="G23" s="2"/>
      <c r="H23" s="4"/>
    </row>
    <row r="24" spans="1:11" x14ac:dyDescent="0.25">
      <c r="F24" s="4">
        <f>SUM(F18:F23)</f>
        <v>296750</v>
      </c>
      <c r="G24" s="4">
        <f>SUM(G18:G23)</f>
        <v>108000</v>
      </c>
      <c r="H24" s="4"/>
    </row>
    <row r="25" spans="1:11" x14ac:dyDescent="0.25">
      <c r="A25" t="s">
        <v>108</v>
      </c>
      <c r="F25" s="4">
        <f>F26-(F24-G24)</f>
        <v>-57750</v>
      </c>
      <c r="G25" s="4"/>
      <c r="H25" s="3"/>
    </row>
    <row r="26" spans="1:11" x14ac:dyDescent="0.25">
      <c r="A26" t="s">
        <v>109</v>
      </c>
      <c r="F26" s="4">
        <f>('Oppgave 4'!C9+'Oppgave 4'!C10-'Oppgave 4'!C11)*110+('Oppgave 4'!C14-'Oppgave 4'!C15+'Oppgave 4'!C16)*60</f>
        <v>131000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Oppgave 1</vt:lpstr>
      <vt:lpstr>L_oppgave 1</vt:lpstr>
      <vt:lpstr>Oppgave 2</vt:lpstr>
      <vt:lpstr>L_oppgave 2</vt:lpstr>
      <vt:lpstr>Oppgave 3</vt:lpstr>
      <vt:lpstr>L_oppgave 3 med fortegn</vt:lpstr>
      <vt:lpstr>L_oppgave 3 med T_kontoer</vt:lpstr>
      <vt:lpstr>Oppgave 4</vt:lpstr>
      <vt:lpstr>L_oppgave 4</vt:lpstr>
      <vt:lpstr>Oppgave 5</vt:lpstr>
      <vt:lpstr>L_oppgave 5</vt:lpstr>
      <vt:lpstr>Oppgave 6</vt:lpstr>
      <vt:lpstr>L_oppgave 6</vt:lpstr>
      <vt:lpstr>Oppgave 7</vt:lpstr>
      <vt:lpstr>L_oppgave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AOP</dc:creator>
  <cp:lastModifiedBy>Raul Boris Farina Briceno</cp:lastModifiedBy>
  <dcterms:created xsi:type="dcterms:W3CDTF">2023-07-03T17:39:41Z</dcterms:created>
  <dcterms:modified xsi:type="dcterms:W3CDTF">2024-01-24T13:11:46Z</dcterms:modified>
</cp:coreProperties>
</file>