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UDIE\EKSAMEN\Eksamen Halden\Oppgavesett\Høst 2023\ØIS\"/>
    </mc:Choice>
  </mc:AlternateContent>
  <xr:revisionPtr revIDLastSave="0" documentId="8_{CE02A671-6594-4A8E-AA22-EFDECA26E544}" xr6:coauthVersionLast="47" xr6:coauthVersionMax="47" xr10:uidLastSave="{00000000-0000-0000-0000-000000000000}"/>
  <bookViews>
    <workbookView xWindow="1890" yWindow="2730" windowWidth="26910" windowHeight="14325" firstSheet="3" activeTab="3" xr2:uid="{7F97A6B9-1F29-40DE-80BA-CEDE39FF996E}"/>
  </bookViews>
  <sheets>
    <sheet name="Oppgave 1" sheetId="1" r:id="rId1"/>
    <sheet name="Løsningsforslag oppgave 1" sheetId="11" r:id="rId2"/>
    <sheet name="Oppgave 2" sheetId="3" r:id="rId3"/>
    <sheet name="Løsningsforslag oppgave 2" sheetId="4" r:id="rId4"/>
    <sheet name="Oppgave 3" sheetId="5" r:id="rId5"/>
    <sheet name="Løsningsforslag oppgave 3" sheetId="6" r:id="rId6"/>
    <sheet name="Oppgave 4" sheetId="7" r:id="rId7"/>
    <sheet name="Løsningsforslag oppgave 4" sheetId="8" r:id="rId8"/>
    <sheet name="Løsningsforslag oppgave 5" sheetId="10" r:id="rId9"/>
    <sheet name="Oppgave 6" sheetId="14" r:id="rId10"/>
    <sheet name="Løsning oppgave 6" sheetId="1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6" l="1"/>
  <c r="K4" i="6"/>
  <c r="J3" i="6"/>
  <c r="M65" i="14"/>
  <c r="N65" i="14"/>
  <c r="O65" i="14"/>
  <c r="P65" i="14"/>
  <c r="M70" i="14"/>
  <c r="N70" i="14"/>
  <c r="O70" i="14"/>
  <c r="M69" i="14"/>
  <c r="N69" i="14"/>
  <c r="O69" i="14"/>
  <c r="M68" i="14"/>
  <c r="N68" i="14"/>
  <c r="O68" i="14"/>
  <c r="M67" i="14"/>
  <c r="N67" i="14"/>
  <c r="O67" i="14"/>
  <c r="M66" i="14"/>
  <c r="N66" i="14"/>
  <c r="O66" i="14"/>
  <c r="P66" i="14"/>
  <c r="P70" i="14"/>
  <c r="P69" i="14"/>
  <c r="P68" i="14"/>
  <c r="P67" i="14"/>
  <c r="Q65" i="14"/>
  <c r="Q66" i="14"/>
  <c r="Q67" i="14"/>
  <c r="Q68" i="14"/>
  <c r="Q69" i="14"/>
  <c r="Q70" i="14"/>
  <c r="M58" i="14"/>
  <c r="M59" i="14"/>
  <c r="M60" i="14"/>
  <c r="M61" i="14"/>
  <c r="N58" i="14"/>
  <c r="N59" i="14"/>
  <c r="N60" i="14"/>
  <c r="N61" i="14"/>
  <c r="O58" i="14"/>
  <c r="O59" i="14"/>
  <c r="O60" i="14"/>
  <c r="O61" i="14"/>
  <c r="P58" i="14"/>
  <c r="P59" i="14"/>
  <c r="P60" i="14"/>
  <c r="P61" i="14"/>
  <c r="Q58" i="14"/>
  <c r="Q59" i="14"/>
  <c r="Q60" i="14"/>
  <c r="Q61" i="14"/>
  <c r="M57" i="14"/>
  <c r="N57" i="14"/>
  <c r="O57" i="14"/>
  <c r="P57" i="14"/>
  <c r="Q57" i="14"/>
  <c r="M56" i="14"/>
  <c r="N56" i="14"/>
  <c r="O56" i="14"/>
  <c r="P56" i="14"/>
  <c r="Q56" i="14"/>
  <c r="C63" i="17"/>
  <c r="F50" i="17"/>
  <c r="I49" i="17"/>
  <c r="H49" i="17"/>
  <c r="G49" i="17"/>
  <c r="F49" i="17"/>
  <c r="E49" i="17"/>
  <c r="I44" i="17"/>
  <c r="I50" i="17" s="1"/>
  <c r="I51" i="17" s="1"/>
  <c r="H44" i="17"/>
  <c r="H50" i="17" s="1"/>
  <c r="G44" i="17"/>
  <c r="G50" i="17" s="1"/>
  <c r="F44" i="17"/>
  <c r="E44" i="17"/>
  <c r="E50" i="17" s="1"/>
  <c r="I40" i="17"/>
  <c r="H40" i="17"/>
  <c r="G40" i="17"/>
  <c r="F40" i="17"/>
  <c r="E40" i="17"/>
  <c r="I33" i="17"/>
  <c r="H33" i="17"/>
  <c r="G33" i="17"/>
  <c r="F33" i="17"/>
  <c r="E33" i="17"/>
  <c r="E58" i="17" s="1"/>
  <c r="I25" i="17"/>
  <c r="I34" i="17" s="1"/>
  <c r="H25" i="17"/>
  <c r="H34" i="17" s="1"/>
  <c r="G25" i="17"/>
  <c r="G34" i="17" s="1"/>
  <c r="F25" i="17"/>
  <c r="E25" i="17"/>
  <c r="E34" i="17" s="1"/>
  <c r="I14" i="17"/>
  <c r="H14" i="17"/>
  <c r="G14" i="17"/>
  <c r="F14" i="17"/>
  <c r="E14" i="17"/>
  <c r="I11" i="17"/>
  <c r="H11" i="17"/>
  <c r="G11" i="17"/>
  <c r="F11" i="17"/>
  <c r="E11" i="17"/>
  <c r="G8" i="17"/>
  <c r="G15" i="17" s="1"/>
  <c r="G17" i="17" s="1"/>
  <c r="I3" i="17"/>
  <c r="I8" i="17" s="1"/>
  <c r="I15" i="17" s="1"/>
  <c r="I17" i="17" s="1"/>
  <c r="H3" i="17"/>
  <c r="G3" i="17"/>
  <c r="G57" i="17" s="1"/>
  <c r="F3" i="17"/>
  <c r="F8" i="17" s="1"/>
  <c r="F15" i="17" s="1"/>
  <c r="F17" i="17" s="1"/>
  <c r="E3" i="17"/>
  <c r="E8" i="17" s="1"/>
  <c r="E15" i="17" s="1"/>
  <c r="E56" i="17" l="1"/>
  <c r="F34" i="17"/>
  <c r="E57" i="17" s="1"/>
  <c r="E51" i="17"/>
  <c r="H51" i="17"/>
  <c r="F51" i="17"/>
  <c r="F57" i="17"/>
  <c r="G51" i="17"/>
  <c r="H57" i="17"/>
  <c r="E59" i="17"/>
  <c r="H8" i="17"/>
  <c r="H15" i="17" s="1"/>
  <c r="H17" i="17" s="1"/>
  <c r="E17" i="17"/>
  <c r="E55" i="17" l="1"/>
  <c r="I49" i="14" l="1"/>
  <c r="H49" i="14"/>
  <c r="G49" i="14"/>
  <c r="F49" i="14"/>
  <c r="E49" i="14"/>
  <c r="I44" i="14"/>
  <c r="H44" i="14"/>
  <c r="H50" i="14" s="1"/>
  <c r="G44" i="14"/>
  <c r="F44" i="14"/>
  <c r="E44" i="14"/>
  <c r="I40" i="14"/>
  <c r="H40" i="14"/>
  <c r="G40" i="14"/>
  <c r="F40" i="14"/>
  <c r="E40" i="14"/>
  <c r="I33" i="14"/>
  <c r="H33" i="14"/>
  <c r="G33" i="14"/>
  <c r="F33" i="14"/>
  <c r="E33" i="14"/>
  <c r="I25" i="14"/>
  <c r="H25" i="14"/>
  <c r="G25" i="14"/>
  <c r="G34" i="14" s="1"/>
  <c r="F25" i="14"/>
  <c r="E25" i="14"/>
  <c r="I14" i="14"/>
  <c r="H14" i="14"/>
  <c r="G14" i="14"/>
  <c r="F14" i="14"/>
  <c r="E14" i="14"/>
  <c r="I11" i="14"/>
  <c r="H11" i="14"/>
  <c r="G11" i="14"/>
  <c r="F11" i="14"/>
  <c r="E11" i="14"/>
  <c r="I3" i="14"/>
  <c r="I8" i="14" s="1"/>
  <c r="H3" i="14"/>
  <c r="G3" i="14"/>
  <c r="F3" i="14"/>
  <c r="E3" i="14"/>
  <c r="G8" i="14" l="1"/>
  <c r="H8" i="14"/>
  <c r="H15" i="14" s="1"/>
  <c r="H17" i="14" s="1"/>
  <c r="F8" i="14"/>
  <c r="F15" i="14" s="1"/>
  <c r="F17" i="14" s="1"/>
  <c r="G15" i="14"/>
  <c r="G17" i="14" s="1"/>
  <c r="F34" i="14"/>
  <c r="F56" i="14" s="1"/>
  <c r="G50" i="14"/>
  <c r="H34" i="14"/>
  <c r="G56" i="14" s="1"/>
  <c r="I50" i="14"/>
  <c r="G51" i="14"/>
  <c r="I51" i="14"/>
  <c r="E50" i="14"/>
  <c r="E51" i="14" s="1"/>
  <c r="I34" i="14"/>
  <c r="H56" i="14" s="1"/>
  <c r="H51" i="14"/>
  <c r="I15" i="14"/>
  <c r="I17" i="14" s="1"/>
  <c r="E34" i="14"/>
  <c r="F50" i="14"/>
  <c r="F51" i="14" s="1"/>
  <c r="E8" i="14"/>
  <c r="E15" i="14" l="1"/>
  <c r="E17" i="14" l="1"/>
  <c r="G39" i="8" l="1"/>
  <c r="K39" i="8" s="1"/>
  <c r="D30" i="8"/>
  <c r="D31" i="8" s="1"/>
  <c r="D8" i="8"/>
  <c r="D19" i="8" s="1"/>
  <c r="D20" i="8" s="1"/>
  <c r="D23" i="8" s="1"/>
  <c r="D25" i="8" s="1"/>
  <c r="C4" i="6"/>
  <c r="C5" i="6"/>
  <c r="D4" i="6"/>
  <c r="D12" i="4"/>
  <c r="C3" i="3"/>
  <c r="C2" i="3"/>
  <c r="D5" i="4"/>
  <c r="B4" i="3"/>
  <c r="D9" i="4" s="1"/>
  <c r="F42" i="8" l="1"/>
  <c r="H42" i="8" s="1"/>
  <c r="G38" i="8"/>
  <c r="J38" i="8" s="1"/>
  <c r="D33" i="8"/>
  <c r="D9" i="8"/>
  <c r="F40" i="8" s="1"/>
  <c r="B4" i="6"/>
  <c r="B7" i="6" s="1"/>
  <c r="C6" i="6"/>
  <c r="C7" i="6" s="1"/>
  <c r="D4" i="3"/>
  <c r="D2" i="4" s="1"/>
  <c r="D4" i="4" s="1"/>
  <c r="D6" i="4" s="1"/>
  <c r="D7" i="6" l="1"/>
  <c r="N3" i="6" s="1"/>
  <c r="G19" i="11"/>
  <c r="G21" i="11" s="1"/>
  <c r="D8" i="11" s="1"/>
  <c r="G11" i="11"/>
  <c r="G6" i="11"/>
  <c r="G20" i="11"/>
  <c r="G16" i="11"/>
  <c r="C8" i="11" s="1"/>
  <c r="C10" i="11" s="1"/>
  <c r="G12" i="11"/>
  <c r="G10" i="11"/>
  <c r="G5" i="11"/>
  <c r="D5" i="11"/>
  <c r="D7" i="11" s="1"/>
  <c r="C5" i="11"/>
  <c r="C7" i="11" s="1"/>
  <c r="B5" i="11"/>
  <c r="B7" i="11" s="1"/>
  <c r="D5" i="1"/>
  <c r="D7" i="1" s="1"/>
  <c r="C5" i="1"/>
  <c r="C7" i="1" s="1"/>
  <c r="B5" i="1"/>
  <c r="B7" i="1" s="1"/>
  <c r="D10" i="11" l="1"/>
  <c r="G13" i="11"/>
  <c r="B8" i="11" s="1"/>
  <c r="G7" i="11"/>
  <c r="B9" i="11" l="1"/>
  <c r="B10" i="11" s="1"/>
  <c r="K3" i="11"/>
  <c r="K4" i="11" s="1"/>
</calcChain>
</file>

<file path=xl/sharedStrings.xml><?xml version="1.0" encoding="utf-8"?>
<sst xmlns="http://schemas.openxmlformats.org/spreadsheetml/2006/main" count="302" uniqueCount="179">
  <si>
    <t>Biler</t>
  </si>
  <si>
    <t>Inventar</t>
  </si>
  <si>
    <t>Kontor-</t>
  </si>
  <si>
    <t>maskiner</t>
  </si>
  <si>
    <t>Avskrevet per 1.1.</t>
  </si>
  <si>
    <t>Anskaffelser i 2022</t>
  </si>
  <si>
    <t>Årets avskrivning</t>
  </si>
  <si>
    <t>Bokført verdi solgt bil</t>
  </si>
  <si>
    <t>Bokført verdi 1.1.22</t>
  </si>
  <si>
    <t>Avskrivning 2022</t>
  </si>
  <si>
    <t>Bokført verdi 31.12.22</t>
  </si>
  <si>
    <t>Saldobalanse</t>
  </si>
  <si>
    <t>Avskrivningsprosent p.a.</t>
  </si>
  <si>
    <t>Sanlede av- og nedskrivninger per 1.1.22</t>
  </si>
  <si>
    <t>Solgt i slutten av september 2022:</t>
  </si>
  <si>
    <t>Bil med anskaffelsesverdi på</t>
  </si>
  <si>
    <t>Bokført verdi 1.1</t>
  </si>
  <si>
    <t>15 % avskrivning</t>
  </si>
  <si>
    <t>Bokført verdi ved salg</t>
  </si>
  <si>
    <t>Solgt bil</t>
  </si>
  <si>
    <t>Andre biler</t>
  </si>
  <si>
    <t>Avskrivning inventar</t>
  </si>
  <si>
    <t>10 % avskrivning</t>
  </si>
  <si>
    <t>Kontormaskiner</t>
  </si>
  <si>
    <t>Nye maskiner</t>
  </si>
  <si>
    <t>Øvrige maskiner</t>
  </si>
  <si>
    <t>Salgssum solgt bil</t>
  </si>
  <si>
    <t>Ny bil: 15 % av 250 000</t>
  </si>
  <si>
    <t>Tap</t>
  </si>
  <si>
    <t>a)</t>
  </si>
  <si>
    <t>c)</t>
  </si>
  <si>
    <t>b) Bokført verdi 31.12.22</t>
  </si>
  <si>
    <t>Anskaffelsesverdi 1.1. (opprinnelig verdi)</t>
  </si>
  <si>
    <t>Dato</t>
  </si>
  <si>
    <t>Antall</t>
  </si>
  <si>
    <t>Kostpris totalt</t>
  </si>
  <si>
    <t>Gjennomsnittlig anskaffelseskost</t>
  </si>
  <si>
    <t>Anskaffelseskost solgte aksjer</t>
  </si>
  <si>
    <t>Salgssum solgte aksjer</t>
  </si>
  <si>
    <t>Gevinst</t>
  </si>
  <si>
    <t>b)</t>
  </si>
  <si>
    <t>Antall aksjer solgt i desember 2022</t>
  </si>
  <si>
    <t>Salgssum per solgte aksje</t>
  </si>
  <si>
    <t>Kurtasje</t>
  </si>
  <si>
    <t>Børskurs per aksje 31.12.22</t>
  </si>
  <si>
    <t>Sum</t>
  </si>
  <si>
    <t>Bokført verdi aksjer 31.12.2022</t>
  </si>
  <si>
    <t>Anskaffelseskost/antall kjøpte aksjer = 270 000/2 000</t>
  </si>
  <si>
    <t>Antall solgte aksjer * gjennomsnittlig anskaffelseskost = 1 000 * 135</t>
  </si>
  <si>
    <t>Antall solgte aksjer * salgssum per aksje - kurtasje = 1 000 * 150 - 200</t>
  </si>
  <si>
    <t>(Antall kjøpe aksjer - antall solgte aksjer) * børskurs per 31.12.22 = (2 000 - 1 000) * 140</t>
  </si>
  <si>
    <t>Pris per aksje</t>
  </si>
  <si>
    <t>Beholdning aksjer per 10.10.22 * pris per aksje = 1 000 * 140</t>
  </si>
  <si>
    <t>Iflg. Regnskapsloven § 5-2 skal aksjene vurderes til laveste verdis prinsipp. I denne oppgaven er anskaffelseskost etter</t>
  </si>
  <si>
    <t>FIFO-metoden og virkelig verdi like.</t>
  </si>
  <si>
    <t>Varebeholdning</t>
  </si>
  <si>
    <t>Kurante</t>
  </si>
  <si>
    <t>Ukurante</t>
  </si>
  <si>
    <t>varer</t>
  </si>
  <si>
    <t>SUM</t>
  </si>
  <si>
    <t>Anskaffelsesverdi</t>
  </si>
  <si>
    <t>Antatt salgsverdi</t>
  </si>
  <si>
    <t>20 % salgskostnader</t>
  </si>
  <si>
    <t>Balanseverdi 31.12.2022</t>
  </si>
  <si>
    <t>Anskaffelsesverdi varer</t>
  </si>
  <si>
    <t>Herav ukurante</t>
  </si>
  <si>
    <t>Antatt salgsverdi ukurante varer</t>
  </si>
  <si>
    <t>Salgskostnader av salgsverdi ukurante varer</t>
  </si>
  <si>
    <t>Kontonummer</t>
  </si>
  <si>
    <t>Kontonavn</t>
  </si>
  <si>
    <t>Resultatregnskap</t>
  </si>
  <si>
    <t>Balanse</t>
  </si>
  <si>
    <t>Innkjøp av varer for voderesalg</t>
  </si>
  <si>
    <t>Varebeholdning innlkøpte varer for videresalg</t>
  </si>
  <si>
    <t>Foreløpig saldobalanse</t>
  </si>
  <si>
    <t>Debet</t>
  </si>
  <si>
    <t>Kredit</t>
  </si>
  <si>
    <t>Oppgjørsposteringer</t>
  </si>
  <si>
    <t>Resultat</t>
  </si>
  <si>
    <t>Avsetn. tap på fordringer</t>
  </si>
  <si>
    <t>Inng.mva.</t>
  </si>
  <si>
    <t>Tap på fordr</t>
  </si>
  <si>
    <t>å anta at vi skal anse tapet som konstatert. Selv om selve konkursen åpnes etter</t>
  </si>
  <si>
    <t>årsskiftet, er det all grunn til å anta at situasjonen 31.12. (noen få dager tidligere)</t>
  </si>
  <si>
    <t>var den samme. Det betyr at vi kostnadsfører beløpet ekskl. mva. på konto</t>
  </si>
  <si>
    <t>Debet 7830 Tap på fordringer</t>
  </si>
  <si>
    <t>*</t>
  </si>
  <si>
    <t>Debet 2710 Inngående mva.</t>
  </si>
  <si>
    <t>Kredit 1500 Kundefordringer</t>
  </si>
  <si>
    <t>Denne kunden er slått konkurs 3.1.23, dvs. etter 31.12.2022. Det virker rimelig</t>
  </si>
  <si>
    <t>IT Design AS</t>
  </si>
  <si>
    <t>Det er neppe grunnlag for å anse denne fordringen som definitivt tapt. Her må</t>
  </si>
  <si>
    <t>vi avsette til tap på fordringer. Avsetningen skal skje ekskl. merverdiavgift, dvs</t>
  </si>
  <si>
    <t>Bokført tap på konto 7830 hittil i år</t>
  </si>
  <si>
    <t>AS Tvilsomme produkter</t>
  </si>
  <si>
    <t>med kr 50 000. Avsetning per 31.12.2022 blir derfor kr 50 000.</t>
  </si>
  <si>
    <t>Bokført tap IT Design AS</t>
  </si>
  <si>
    <t xml:space="preserve">for merverdiavgiften i 1. termin 2023 og ikke i 6 termin 2022. Dette vil </t>
  </si>
  <si>
    <t>imidlertid ikke få noen betydning for konto 1500 og konto 7830</t>
  </si>
  <si>
    <t xml:space="preserve">* Siden konkursen ble åpnet 3. januar 2023, er det nok mer korrekt å få fradrag </t>
  </si>
  <si>
    <t>Konstaterte tap i 2022</t>
  </si>
  <si>
    <t>Samlet tap på konto 7830</t>
  </si>
  <si>
    <t xml:space="preserve"> = Årets regnskapsmessige kostnad</t>
  </si>
  <si>
    <t xml:space="preserve"> = 50 000 – 30 000</t>
  </si>
  <si>
    <t xml:space="preserve"> dvs. resultatført i 2022</t>
  </si>
  <si>
    <t>Samlede kundefordringer</t>
  </si>
  <si>
    <t>Tapsføring:</t>
  </si>
  <si>
    <t>Bokført (regnskapsmessig) verdi</t>
  </si>
  <si>
    <t>Pålydende verdi 31.12.2022</t>
  </si>
  <si>
    <t>Avsetning 31.12.2022</t>
  </si>
  <si>
    <t>Vist på kontoer:</t>
  </si>
  <si>
    <t xml:space="preserve"> + Økning i avsetning</t>
  </si>
  <si>
    <t>d)</t>
  </si>
  <si>
    <t>Kundefordringer</t>
  </si>
  <si>
    <t>Inng. Mva</t>
  </si>
  <si>
    <t>7830 og reduserer kundefordringene med kr 60 000.</t>
  </si>
  <si>
    <t>Salgsinntekter</t>
  </si>
  <si>
    <t>Sum driftsinntekter</t>
  </si>
  <si>
    <t>Varekostnad</t>
  </si>
  <si>
    <t>Lønnskostnader</t>
  </si>
  <si>
    <t>Ordinære avskrivninger</t>
  </si>
  <si>
    <t>Andre driftskostnader</t>
  </si>
  <si>
    <t>Driftsresultat</t>
  </si>
  <si>
    <t>Sum annen renteinntekt</t>
  </si>
  <si>
    <t>Sum annen finansinntekt</t>
  </si>
  <si>
    <t>Sum finansinntekter</t>
  </si>
  <si>
    <t>Sum annen finanskostnad</t>
  </si>
  <si>
    <t>Skattekostnad</t>
  </si>
  <si>
    <t>Årsresultat</t>
  </si>
  <si>
    <t>Sum omløpsmidler</t>
  </si>
  <si>
    <t>Sum eiendeler</t>
  </si>
  <si>
    <t>Aksjekapital</t>
  </si>
  <si>
    <t>Sum egenkapital</t>
  </si>
  <si>
    <t>Sum langsiktig gjeld</t>
  </si>
  <si>
    <t>Leverandørgjeld</t>
  </si>
  <si>
    <t>Sum kortsiktig gjeld</t>
  </si>
  <si>
    <t>Sum gjeld</t>
  </si>
  <si>
    <t>Sum egenkapital og gjeld</t>
  </si>
  <si>
    <t>Langsiktig gjeld</t>
  </si>
  <si>
    <t>Likviditetsgrad 1</t>
  </si>
  <si>
    <t>Resultatgrad i %</t>
  </si>
  <si>
    <t>Kapitalens omløpshastighet</t>
  </si>
  <si>
    <t>Egenkapitalandel i %</t>
  </si>
  <si>
    <t>Resultatregnskap (i hele 1 000)</t>
  </si>
  <si>
    <t>Sun annen finanskostnad</t>
  </si>
  <si>
    <t>Resultat før skattekostnad</t>
  </si>
  <si>
    <t>Til utbytte</t>
  </si>
  <si>
    <t>Balanseregnskap (i hele 1 000)</t>
  </si>
  <si>
    <t>Anleggsmidler</t>
  </si>
  <si>
    <t>Immaterielle eiendeler</t>
  </si>
  <si>
    <t>Maskiner/anlegg/biler</t>
  </si>
  <si>
    <t>Sum anleggsmidler</t>
  </si>
  <si>
    <t>Omløpsmidler</t>
  </si>
  <si>
    <t>Andre fordringer</t>
  </si>
  <si>
    <t>Investeringer</t>
  </si>
  <si>
    <t>Kasse/bank/post</t>
  </si>
  <si>
    <t>Egenkapital og gjeld</t>
  </si>
  <si>
    <t xml:space="preserve">Egenkapital  </t>
  </si>
  <si>
    <t>Sum opptjent egenkapital</t>
  </si>
  <si>
    <t>Gjeld</t>
  </si>
  <si>
    <t>Skyldige offentlige avgifter</t>
  </si>
  <si>
    <t>Annen kortsiktig gjeld</t>
  </si>
  <si>
    <t>Nøkkeltall</t>
  </si>
  <si>
    <t>Totalrentabilitet i %</t>
  </si>
  <si>
    <t>Rentekostnad</t>
  </si>
  <si>
    <t>Totalkapitalrentabilitet i % = resultagrad i % * kapitalens omløpshastighet</t>
  </si>
  <si>
    <t>8,27 % * 0,88</t>
  </si>
  <si>
    <t>Her ser vi at "syndebukken" er resultatgraden.  Men man i 2018 tjente 4,23 øre av hver krone tjente man ikke noe i årene 2019-2020 før man i 2021 og 2022 har en øning i inntjeningen.</t>
  </si>
  <si>
    <t>Resultatgraden har som sagt hatt et faltt i perioden 2019 - 2020. Det samme har også kapitalens omløpshastighet.</t>
  </si>
  <si>
    <t xml:space="preserve">En utgift er vederlaget for en vare/tjeneste, altså prisen for anskaffelsen. Kostnad er </t>
  </si>
  <si>
    <t>den periodiserte delen av utgiften, altså forbruket av utgiften.</t>
  </si>
  <si>
    <t>Utgiften er kr 30 000.</t>
  </si>
  <si>
    <t>Kostnaden for januar er kr 10 000.</t>
  </si>
  <si>
    <t>EK er svekket med kr 10 000 for januar.</t>
  </si>
  <si>
    <t>Vertikal analyse</t>
  </si>
  <si>
    <t>Horisontal analyse</t>
  </si>
  <si>
    <t>De underliggende årsakene til fall i lønnsomhet er:</t>
  </si>
  <si>
    <t>1. Den markerte nedgangen i omsetningen fra 2018 til 2020</t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</si>
  <si>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Lønnskostnadene er blitt værende på et høyt nivå til og med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</si>
</sst>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9" fontId="0" fillId="0" borderId="0" xfId="0" applyNumberFormat="1"/>
    <xf numFmtId="3" fontId="3" fillId="0" borderId="0" xfId="0" applyNumberFormat="1" applyFont="1" applyAlignment="1">
      <alignment horizontal="center"/>
    </xf>
    <xf numFmtId="0" fontId="3" fillId="2" borderId="0" xfId="0" applyFont="1" applyFill="1"/>
    <xf numFmtId="3" fontId="3" fillId="2" borderId="2" xfId="0" applyNumberFormat="1" applyFont="1" applyFill="1" applyBorder="1"/>
    <xf numFmtId="0" fontId="0" fillId="2" borderId="0" xfId="0" applyFill="1"/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/>
    <xf numFmtId="0" fontId="2" fillId="2" borderId="0" xfId="0" applyFont="1" applyFill="1"/>
    <xf numFmtId="3" fontId="2" fillId="2" borderId="1" xfId="0" applyNumberFormat="1" applyFont="1" applyFill="1" applyBorder="1"/>
    <xf numFmtId="3" fontId="3" fillId="2" borderId="0" xfId="0" applyNumberFormat="1" applyFont="1" applyFill="1"/>
    <xf numFmtId="0" fontId="1" fillId="2" borderId="0" xfId="0" applyFont="1" applyFill="1"/>
    <xf numFmtId="14" fontId="0" fillId="0" borderId="0" xfId="0" applyNumberFormat="1"/>
    <xf numFmtId="164" fontId="0" fillId="0" borderId="0" xfId="1" applyNumberFormat="1" applyFont="1"/>
    <xf numFmtId="164" fontId="0" fillId="0" borderId="1" xfId="1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164" fontId="1" fillId="0" borderId="2" xfId="1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/>
    </xf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3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/>
    </xf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7" fillId="0" borderId="4" xfId="2" applyFont="1" applyBorder="1"/>
    <xf numFmtId="0" fontId="8" fillId="0" borderId="5" xfId="2" applyFont="1" applyBorder="1"/>
    <xf numFmtId="0" fontId="7" fillId="0" borderId="6" xfId="2" applyFont="1" applyBorder="1"/>
    <xf numFmtId="0" fontId="8" fillId="0" borderId="7" xfId="2" applyFont="1" applyBorder="1"/>
    <xf numFmtId="3" fontId="7" fillId="0" borderId="8" xfId="2" applyNumberFormat="1" applyFont="1" applyBorder="1"/>
    <xf numFmtId="3" fontId="7" fillId="0" borderId="9" xfId="2" applyNumberFormat="1" applyFont="1" applyBorder="1"/>
    <xf numFmtId="0" fontId="7" fillId="0" borderId="10" xfId="2" applyFont="1" applyBorder="1"/>
    <xf numFmtId="0" fontId="8" fillId="0" borderId="11" xfId="2" applyFont="1" applyBorder="1"/>
    <xf numFmtId="3" fontId="7" fillId="0" borderId="12" xfId="2" applyNumberFormat="1" applyFont="1" applyBorder="1"/>
    <xf numFmtId="0" fontId="7" fillId="0" borderId="13" xfId="2" applyFont="1" applyBorder="1"/>
    <xf numFmtId="0" fontId="8" fillId="0" borderId="14" xfId="2" applyFont="1" applyBorder="1"/>
    <xf numFmtId="3" fontId="7" fillId="0" borderId="15" xfId="2" applyNumberFormat="1" applyFont="1" applyBorder="1"/>
    <xf numFmtId="0" fontId="9" fillId="0" borderId="0" xfId="2" applyFont="1"/>
    <xf numFmtId="0" fontId="7" fillId="0" borderId="0" xfId="2" applyFont="1"/>
    <xf numFmtId="3" fontId="7" fillId="0" borderId="0" xfId="2" applyNumberFormat="1" applyFont="1"/>
    <xf numFmtId="0" fontId="7" fillId="0" borderId="16" xfId="2" applyFont="1" applyBorder="1"/>
    <xf numFmtId="0" fontId="7" fillId="0" borderId="3" xfId="2" applyFont="1" applyBorder="1"/>
    <xf numFmtId="3" fontId="7" fillId="0" borderId="3" xfId="2" applyNumberFormat="1" applyFont="1" applyBorder="1"/>
    <xf numFmtId="3" fontId="7" fillId="0" borderId="17" xfId="2" applyNumberFormat="1" applyFont="1" applyBorder="1"/>
    <xf numFmtId="0" fontId="7" fillId="0" borderId="2" xfId="2" applyFont="1" applyBorder="1"/>
    <xf numFmtId="3" fontId="7" fillId="0" borderId="2" xfId="2" applyNumberFormat="1" applyFont="1" applyBorder="1"/>
    <xf numFmtId="3" fontId="7" fillId="0" borderId="18" xfId="2" applyNumberFormat="1" applyFont="1" applyBorder="1"/>
    <xf numFmtId="0" fontId="7" fillId="0" borderId="19" xfId="2" applyFont="1" applyBorder="1"/>
    <xf numFmtId="0" fontId="7" fillId="0" borderId="1" xfId="2" applyFont="1" applyBorder="1"/>
    <xf numFmtId="3" fontId="7" fillId="0" borderId="1" xfId="2" applyNumberFormat="1" applyFont="1" applyBorder="1"/>
    <xf numFmtId="3" fontId="7" fillId="0" borderId="20" xfId="2" applyNumberFormat="1" applyFont="1" applyBorder="1"/>
    <xf numFmtId="0" fontId="10" fillId="0" borderId="0" xfId="0" applyFont="1"/>
    <xf numFmtId="0" fontId="11" fillId="0" borderId="0" xfId="2" applyFont="1"/>
    <xf numFmtId="3" fontId="0" fillId="0" borderId="0" xfId="0" applyNumberFormat="1"/>
    <xf numFmtId="3" fontId="7" fillId="3" borderId="9" xfId="2" applyNumberFormat="1" applyFont="1" applyFill="1" applyBorder="1"/>
    <xf numFmtId="3" fontId="7" fillId="3" borderId="12" xfId="2" applyNumberFormat="1" applyFont="1" applyFill="1" applyBorder="1"/>
    <xf numFmtId="3" fontId="7" fillId="3" borderId="15" xfId="2" applyNumberFormat="1" applyFont="1" applyFill="1" applyBorder="1"/>
    <xf numFmtId="0" fontId="9" fillId="0" borderId="6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165" fontId="0" fillId="0" borderId="0" xfId="1" applyNumberFormat="1" applyFont="1"/>
    <xf numFmtId="165" fontId="1" fillId="0" borderId="0" xfId="1" applyNumberFormat="1" applyFont="1"/>
    <xf numFmtId="2" fontId="0" fillId="0" borderId="0" xfId="0" applyNumberFormat="1"/>
    <xf numFmtId="165" fontId="0" fillId="0" borderId="1" xfId="1" applyNumberFormat="1" applyFont="1" applyBorder="1"/>
    <xf numFmtId="165" fontId="1" fillId="0" borderId="0" xfId="1" applyNumberFormat="1" applyFont="1" applyBorder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9" fillId="0" borderId="4" xfId="2" applyNumberFormat="1" applyFont="1" applyBorder="1" applyAlignment="1">
      <alignment horizontal="center"/>
    </xf>
    <xf numFmtId="3" fontId="9" fillId="0" borderId="5" xfId="2" applyNumberFormat="1" applyFont="1" applyBorder="1" applyAlignment="1">
      <alignment horizontal="center"/>
    </xf>
  </cellXfs>
  <cellStyles count="3">
    <cellStyle name="Komma" xfId="1" builtinId="3"/>
    <cellStyle name="Normal" xfId="0" builtinId="0"/>
    <cellStyle name="Normal 2" xfId="2" xr:uid="{4E8284B6-DCCE-4CF2-A3C1-C5950F471D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77DB-7972-43F9-85E8-E93D5F1CFE95}">
  <dimension ref="A1:D12"/>
  <sheetViews>
    <sheetView workbookViewId="0">
      <selection activeCell="D7" sqref="D7"/>
    </sheetView>
  </sheetViews>
  <sheetFormatPr baseColWidth="10" defaultRowHeight="15" x14ac:dyDescent="0.25"/>
  <cols>
    <col min="1" max="1" width="34.28515625" bestFit="1" customWidth="1"/>
  </cols>
  <sheetData>
    <row r="1" spans="1:4" x14ac:dyDescent="0.25">
      <c r="A1" s="1"/>
      <c r="B1" s="9" t="s">
        <v>0</v>
      </c>
      <c r="C1" s="9" t="s">
        <v>1</v>
      </c>
      <c r="D1" s="9" t="s">
        <v>2</v>
      </c>
    </row>
    <row r="2" spans="1:4" x14ac:dyDescent="0.25">
      <c r="A2" s="1"/>
      <c r="B2" s="9"/>
      <c r="C2" s="9"/>
      <c r="D2" s="9" t="s">
        <v>3</v>
      </c>
    </row>
    <row r="3" spans="1:4" x14ac:dyDescent="0.25">
      <c r="A3" s="1" t="s">
        <v>32</v>
      </c>
      <c r="B3" s="3">
        <v>600000</v>
      </c>
      <c r="C3" s="3">
        <v>180000</v>
      </c>
      <c r="D3" s="3">
        <v>160000</v>
      </c>
    </row>
    <row r="4" spans="1:4" x14ac:dyDescent="0.25">
      <c r="A4" s="1" t="s">
        <v>13</v>
      </c>
      <c r="B4" s="4">
        <v>250000</v>
      </c>
      <c r="C4" s="4">
        <v>60000</v>
      </c>
      <c r="D4" s="4">
        <v>75000</v>
      </c>
    </row>
    <row r="5" spans="1:4" x14ac:dyDescent="0.25">
      <c r="A5" s="5" t="s">
        <v>8</v>
      </c>
      <c r="B5" s="6">
        <f>B3-B4</f>
        <v>350000</v>
      </c>
      <c r="C5" s="6">
        <f>C3-C4</f>
        <v>120000</v>
      </c>
      <c r="D5" s="6">
        <f>D3-D4</f>
        <v>85000</v>
      </c>
    </row>
    <row r="6" spans="1:4" x14ac:dyDescent="0.25">
      <c r="A6" s="1" t="s">
        <v>5</v>
      </c>
      <c r="B6" s="4">
        <v>250000</v>
      </c>
      <c r="C6" s="4"/>
      <c r="D6" s="4">
        <v>40000</v>
      </c>
    </row>
    <row r="7" spans="1:4" x14ac:dyDescent="0.25">
      <c r="A7" s="5" t="s">
        <v>11</v>
      </c>
      <c r="B7" s="6">
        <f>SUM(B5:B6)</f>
        <v>600000</v>
      </c>
      <c r="C7" s="6">
        <f>SUM(C5:C6)</f>
        <v>120000</v>
      </c>
      <c r="D7" s="6">
        <f>SUM(D5:D6)</f>
        <v>125000</v>
      </c>
    </row>
    <row r="8" spans="1:4" x14ac:dyDescent="0.25">
      <c r="A8" s="1" t="s">
        <v>9</v>
      </c>
      <c r="B8" s="2"/>
      <c r="C8" s="2"/>
      <c r="D8" s="2"/>
    </row>
    <row r="9" spans="1:4" x14ac:dyDescent="0.25">
      <c r="A9" s="1" t="s">
        <v>7</v>
      </c>
      <c r="B9" s="9"/>
      <c r="C9" s="9"/>
      <c r="D9" s="9"/>
    </row>
    <row r="10" spans="1:4" x14ac:dyDescent="0.25">
      <c r="A10" s="5" t="s">
        <v>10</v>
      </c>
      <c r="B10" s="7"/>
      <c r="C10" s="7"/>
      <c r="D10" s="7"/>
    </row>
    <row r="12" spans="1:4" x14ac:dyDescent="0.25">
      <c r="A12" t="s">
        <v>12</v>
      </c>
      <c r="B12" s="8">
        <v>0.15</v>
      </c>
      <c r="C12" s="8">
        <v>0.1</v>
      </c>
      <c r="D12" s="8">
        <v>0.25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6900-7F19-4CE3-87F1-E99EFD05FD64}">
  <dimension ref="A1:Q70"/>
  <sheetViews>
    <sheetView topLeftCell="A44" workbookViewId="0">
      <selection activeCell="M65" sqref="M65"/>
    </sheetView>
  </sheetViews>
  <sheetFormatPr baseColWidth="10" defaultRowHeight="15" x14ac:dyDescent="0.25"/>
  <sheetData>
    <row r="1" spans="1:9" x14ac:dyDescent="0.25">
      <c r="A1" s="23" t="s">
        <v>143</v>
      </c>
      <c r="B1" s="23"/>
      <c r="C1" s="23"/>
      <c r="D1" s="23"/>
      <c r="E1" s="23">
        <v>2022</v>
      </c>
      <c r="F1" s="23">
        <v>2021</v>
      </c>
      <c r="G1" s="23">
        <v>2020</v>
      </c>
      <c r="H1" s="23">
        <v>2019</v>
      </c>
      <c r="I1" s="23">
        <v>2018</v>
      </c>
    </row>
    <row r="2" spans="1:9" x14ac:dyDescent="0.25">
      <c r="A2" t="s">
        <v>116</v>
      </c>
      <c r="E2" s="74">
        <v>5091</v>
      </c>
      <c r="F2" s="74">
        <v>5178</v>
      </c>
      <c r="G2" s="74">
        <v>4423</v>
      </c>
      <c r="H2" s="74">
        <v>5220</v>
      </c>
      <c r="I2" s="74">
        <v>8079</v>
      </c>
    </row>
    <row r="3" spans="1:9" x14ac:dyDescent="0.25">
      <c r="A3" s="23" t="s">
        <v>117</v>
      </c>
      <c r="B3" s="23"/>
      <c r="C3" s="23"/>
      <c r="D3" s="23"/>
      <c r="E3" s="72">
        <f>SUM(E2)</f>
        <v>5091</v>
      </c>
      <c r="F3" s="72">
        <f t="shared" ref="F3:I3" si="0">SUM(F2)</f>
        <v>5178</v>
      </c>
      <c r="G3" s="72">
        <f t="shared" si="0"/>
        <v>4423</v>
      </c>
      <c r="H3" s="72">
        <f t="shared" si="0"/>
        <v>5220</v>
      </c>
      <c r="I3" s="72">
        <f t="shared" si="0"/>
        <v>8079</v>
      </c>
    </row>
    <row r="4" spans="1:9" x14ac:dyDescent="0.25">
      <c r="A4" t="s">
        <v>118</v>
      </c>
      <c r="E4" s="71">
        <v>2602</v>
      </c>
      <c r="F4" s="71">
        <v>2521</v>
      </c>
      <c r="G4" s="71">
        <v>2055</v>
      </c>
      <c r="H4" s="71">
        <v>2439</v>
      </c>
      <c r="I4" s="71">
        <v>4735</v>
      </c>
    </row>
    <row r="5" spans="1:9" x14ac:dyDescent="0.25">
      <c r="A5" t="s">
        <v>119</v>
      </c>
      <c r="E5" s="71">
        <v>598</v>
      </c>
      <c r="F5" s="71">
        <v>859</v>
      </c>
      <c r="G5" s="71">
        <v>1467</v>
      </c>
      <c r="H5" s="71">
        <v>1462</v>
      </c>
      <c r="I5" s="71">
        <v>1414</v>
      </c>
    </row>
    <row r="6" spans="1:9" x14ac:dyDescent="0.25">
      <c r="A6" t="s">
        <v>120</v>
      </c>
      <c r="E6" s="71">
        <v>66</v>
      </c>
      <c r="F6" s="71">
        <v>66</v>
      </c>
      <c r="G6" s="71">
        <v>66</v>
      </c>
      <c r="H6" s="71">
        <v>66</v>
      </c>
      <c r="I6" s="71">
        <v>66</v>
      </c>
    </row>
    <row r="7" spans="1:9" x14ac:dyDescent="0.25">
      <c r="A7" t="s">
        <v>121</v>
      </c>
      <c r="E7" s="74">
        <v>1476</v>
      </c>
      <c r="F7" s="74">
        <v>1361</v>
      </c>
      <c r="G7" s="74">
        <v>1398</v>
      </c>
      <c r="H7" s="74">
        <v>1508</v>
      </c>
      <c r="I7" s="74">
        <v>1541</v>
      </c>
    </row>
    <row r="8" spans="1:9" x14ac:dyDescent="0.25">
      <c r="A8" s="23" t="s">
        <v>122</v>
      </c>
      <c r="B8" s="23"/>
      <c r="C8" s="23"/>
      <c r="D8" s="23"/>
      <c r="E8" s="72">
        <f>E3-E4-E5-E6-E7</f>
        <v>349</v>
      </c>
      <c r="F8" s="72">
        <f t="shared" ref="F8:I8" si="1">F3-F4-F5-F6-F7</f>
        <v>371</v>
      </c>
      <c r="G8" s="72">
        <f t="shared" si="1"/>
        <v>-563</v>
      </c>
      <c r="H8" s="72">
        <f t="shared" si="1"/>
        <v>-255</v>
      </c>
      <c r="I8" s="72">
        <f t="shared" si="1"/>
        <v>323</v>
      </c>
    </row>
    <row r="9" spans="1:9" x14ac:dyDescent="0.25">
      <c r="A9" t="s">
        <v>123</v>
      </c>
      <c r="E9" s="71">
        <v>0</v>
      </c>
      <c r="F9" s="71">
        <v>0</v>
      </c>
      <c r="G9" s="71">
        <v>0</v>
      </c>
      <c r="H9" s="71">
        <v>0</v>
      </c>
      <c r="I9" s="71">
        <v>1</v>
      </c>
    </row>
    <row r="10" spans="1:9" x14ac:dyDescent="0.25">
      <c r="A10" t="s">
        <v>124</v>
      </c>
      <c r="E10" s="74">
        <v>72</v>
      </c>
      <c r="F10" s="74">
        <v>22</v>
      </c>
      <c r="G10" s="74">
        <v>14</v>
      </c>
      <c r="H10" s="74">
        <v>17</v>
      </c>
      <c r="I10" s="74">
        <v>18</v>
      </c>
    </row>
    <row r="11" spans="1:9" x14ac:dyDescent="0.25">
      <c r="A11" s="23" t="s">
        <v>125</v>
      </c>
      <c r="B11" s="23"/>
      <c r="C11" s="23"/>
      <c r="D11" s="23"/>
      <c r="E11" s="72">
        <f>SUM(E9:E10)</f>
        <v>72</v>
      </c>
      <c r="F11" s="72">
        <f t="shared" ref="F11:I11" si="2">SUM(F9:F10)</f>
        <v>22</v>
      </c>
      <c r="G11" s="72">
        <f t="shared" si="2"/>
        <v>14</v>
      </c>
      <c r="H11" s="72">
        <f t="shared" si="2"/>
        <v>17</v>
      </c>
      <c r="I11" s="72">
        <f t="shared" si="2"/>
        <v>19</v>
      </c>
    </row>
    <row r="12" spans="1:9" x14ac:dyDescent="0.25">
      <c r="A12" t="s">
        <v>126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5">
      <c r="A13" t="s">
        <v>164</v>
      </c>
      <c r="E13" s="74">
        <v>14</v>
      </c>
      <c r="F13" s="74">
        <v>40</v>
      </c>
      <c r="G13" s="74">
        <v>15</v>
      </c>
      <c r="H13" s="74">
        <v>13</v>
      </c>
      <c r="I13" s="74">
        <v>29</v>
      </c>
    </row>
    <row r="14" spans="1:9" x14ac:dyDescent="0.25">
      <c r="A14" s="23" t="s">
        <v>144</v>
      </c>
      <c r="B14" s="23"/>
      <c r="C14" s="23"/>
      <c r="D14" s="23"/>
      <c r="E14" s="75">
        <f>SUM(E12:E13)</f>
        <v>14</v>
      </c>
      <c r="F14" s="75">
        <f t="shared" ref="F14:I14" si="3">SUM(F12:F13)</f>
        <v>40</v>
      </c>
      <c r="G14" s="75">
        <f t="shared" si="3"/>
        <v>15</v>
      </c>
      <c r="H14" s="75">
        <f t="shared" si="3"/>
        <v>13</v>
      </c>
      <c r="I14" s="75">
        <f t="shared" si="3"/>
        <v>29</v>
      </c>
    </row>
    <row r="15" spans="1:9" x14ac:dyDescent="0.25">
      <c r="A15" s="23" t="s">
        <v>145</v>
      </c>
      <c r="B15" s="23"/>
      <c r="C15" s="23"/>
      <c r="D15" s="23"/>
      <c r="E15" s="72">
        <f>E8+E11-E14</f>
        <v>407</v>
      </c>
      <c r="F15" s="72">
        <f t="shared" ref="F15:I15" si="4">F8+F11-F14</f>
        <v>353</v>
      </c>
      <c r="G15" s="72">
        <f t="shared" si="4"/>
        <v>-564</v>
      </c>
      <c r="H15" s="72">
        <f t="shared" si="4"/>
        <v>-251</v>
      </c>
      <c r="I15" s="72">
        <f t="shared" si="4"/>
        <v>313</v>
      </c>
    </row>
    <row r="16" spans="1:9" x14ac:dyDescent="0.25">
      <c r="A16" t="s">
        <v>127</v>
      </c>
      <c r="E16" s="74">
        <v>0</v>
      </c>
      <c r="F16" s="74">
        <v>0</v>
      </c>
      <c r="G16" s="74">
        <v>-100</v>
      </c>
      <c r="H16" s="74">
        <v>0</v>
      </c>
      <c r="I16" s="74">
        <v>0</v>
      </c>
    </row>
    <row r="17" spans="1:9" x14ac:dyDescent="0.25">
      <c r="A17" s="23" t="s">
        <v>128</v>
      </c>
      <c r="B17" s="23"/>
      <c r="C17" s="23"/>
      <c r="D17" s="23"/>
      <c r="E17" s="72">
        <f>SUM(E15:E16)</f>
        <v>407</v>
      </c>
      <c r="F17" s="72">
        <f t="shared" ref="F17:I17" si="5">SUM(F15:F16)</f>
        <v>353</v>
      </c>
      <c r="G17" s="72">
        <f t="shared" si="5"/>
        <v>-664</v>
      </c>
      <c r="H17" s="72">
        <f t="shared" si="5"/>
        <v>-251</v>
      </c>
      <c r="I17" s="72">
        <f t="shared" si="5"/>
        <v>313</v>
      </c>
    </row>
    <row r="18" spans="1:9" x14ac:dyDescent="0.25">
      <c r="E18" s="20"/>
      <c r="F18" s="20"/>
      <c r="G18" s="20"/>
      <c r="H18" s="20"/>
      <c r="I18" s="20"/>
    </row>
    <row r="19" spans="1:9" x14ac:dyDescent="0.25">
      <c r="A19" t="s">
        <v>146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</row>
    <row r="20" spans="1:9" x14ac:dyDescent="0.25">
      <c r="E20" s="20"/>
      <c r="F20" s="20"/>
      <c r="G20" s="20"/>
      <c r="H20" s="20"/>
      <c r="I20" s="20"/>
    </row>
    <row r="21" spans="1:9" x14ac:dyDescent="0.25">
      <c r="A21" s="23" t="s">
        <v>147</v>
      </c>
      <c r="B21" s="23"/>
      <c r="C21" s="23"/>
      <c r="D21" s="23"/>
      <c r="E21" s="23">
        <v>2022</v>
      </c>
      <c r="F21" s="23">
        <v>2021</v>
      </c>
      <c r="G21" s="23">
        <v>2020</v>
      </c>
      <c r="H21" s="23">
        <v>2019</v>
      </c>
      <c r="I21" s="23">
        <v>2018</v>
      </c>
    </row>
    <row r="22" spans="1:9" x14ac:dyDescent="0.25">
      <c r="A22" s="23" t="s">
        <v>148</v>
      </c>
      <c r="B22" s="23"/>
      <c r="C22" s="23"/>
      <c r="D22" s="23"/>
      <c r="E22" s="72"/>
      <c r="F22" s="72"/>
      <c r="G22" s="72"/>
      <c r="H22" s="72"/>
      <c r="I22" s="72"/>
    </row>
    <row r="23" spans="1:9" x14ac:dyDescent="0.25">
      <c r="A23" t="s">
        <v>149</v>
      </c>
      <c r="B23" s="23"/>
      <c r="C23" s="23"/>
      <c r="D23" s="23"/>
      <c r="E23" s="71">
        <v>0</v>
      </c>
      <c r="F23" s="71">
        <v>0</v>
      </c>
      <c r="G23" s="71">
        <v>0</v>
      </c>
      <c r="H23" s="71">
        <v>100</v>
      </c>
      <c r="I23" s="71">
        <v>100</v>
      </c>
    </row>
    <row r="24" spans="1:9" x14ac:dyDescent="0.25">
      <c r="A24" t="s">
        <v>150</v>
      </c>
      <c r="E24" s="74">
        <v>65</v>
      </c>
      <c r="F24" s="74">
        <v>131</v>
      </c>
      <c r="G24" s="74">
        <v>197</v>
      </c>
      <c r="H24" s="74">
        <v>264</v>
      </c>
      <c r="I24" s="74">
        <v>330</v>
      </c>
    </row>
    <row r="25" spans="1:9" x14ac:dyDescent="0.25">
      <c r="A25" s="23" t="s">
        <v>151</v>
      </c>
      <c r="B25" s="23"/>
      <c r="C25" s="23"/>
      <c r="D25" s="23"/>
      <c r="E25" s="72">
        <f>SUM(E23:E24)</f>
        <v>65</v>
      </c>
      <c r="F25" s="72">
        <f t="shared" ref="F25:I25" si="6">SUM(F23:F24)</f>
        <v>131</v>
      </c>
      <c r="G25" s="72">
        <f t="shared" si="6"/>
        <v>197</v>
      </c>
      <c r="H25" s="72">
        <f t="shared" si="6"/>
        <v>364</v>
      </c>
      <c r="I25" s="72">
        <f t="shared" si="6"/>
        <v>430</v>
      </c>
    </row>
    <row r="26" spans="1:9" x14ac:dyDescent="0.25">
      <c r="A26" s="23"/>
      <c r="B26" s="23"/>
      <c r="C26" s="23"/>
      <c r="D26" s="23"/>
      <c r="E26" s="72"/>
      <c r="F26" s="72"/>
      <c r="G26" s="72"/>
      <c r="H26" s="72"/>
      <c r="I26" s="72"/>
    </row>
    <row r="27" spans="1:9" x14ac:dyDescent="0.25">
      <c r="A27" s="23" t="s">
        <v>152</v>
      </c>
      <c r="B27" s="23"/>
      <c r="C27" s="23"/>
      <c r="D27" s="23"/>
      <c r="E27" s="72"/>
      <c r="F27" s="72"/>
      <c r="G27" s="72"/>
      <c r="H27" s="72"/>
      <c r="I27" s="72"/>
    </row>
    <row r="28" spans="1:9" x14ac:dyDescent="0.25">
      <c r="A28" t="s">
        <v>55</v>
      </c>
      <c r="E28" s="76">
        <v>4728</v>
      </c>
      <c r="F28" s="76">
        <v>4774</v>
      </c>
      <c r="G28" s="76">
        <v>4797</v>
      </c>
      <c r="H28" s="76">
        <v>4682</v>
      </c>
      <c r="I28" s="76">
        <v>3897</v>
      </c>
    </row>
    <row r="29" spans="1:9" x14ac:dyDescent="0.25">
      <c r="A29" t="s">
        <v>113</v>
      </c>
      <c r="E29" s="76">
        <v>41</v>
      </c>
      <c r="F29" s="76">
        <v>26</v>
      </c>
      <c r="G29" s="76">
        <v>36</v>
      </c>
      <c r="H29" s="76">
        <v>30</v>
      </c>
      <c r="I29" s="76">
        <v>0</v>
      </c>
    </row>
    <row r="30" spans="1:9" x14ac:dyDescent="0.25">
      <c r="A30" t="s">
        <v>153</v>
      </c>
      <c r="E30" s="76">
        <v>128</v>
      </c>
      <c r="F30" s="76">
        <v>107</v>
      </c>
      <c r="G30" s="76">
        <v>48</v>
      </c>
      <c r="H30" s="76">
        <v>90</v>
      </c>
      <c r="I30" s="76">
        <v>90</v>
      </c>
    </row>
    <row r="31" spans="1:9" x14ac:dyDescent="0.25">
      <c r="A31" t="s">
        <v>154</v>
      </c>
      <c r="E31" s="76">
        <v>58</v>
      </c>
      <c r="F31" s="76">
        <v>22</v>
      </c>
      <c r="G31" s="76">
        <v>22</v>
      </c>
      <c r="H31" s="76">
        <v>22</v>
      </c>
      <c r="I31" s="76">
        <v>22</v>
      </c>
    </row>
    <row r="32" spans="1:9" x14ac:dyDescent="0.25">
      <c r="A32" t="s">
        <v>155</v>
      </c>
      <c r="E32" s="77">
        <v>753</v>
      </c>
      <c r="F32" s="77">
        <v>753</v>
      </c>
      <c r="G32" s="77">
        <v>569</v>
      </c>
      <c r="H32" s="77">
        <v>831</v>
      </c>
      <c r="I32" s="77">
        <v>205</v>
      </c>
    </row>
    <row r="33" spans="1:9" x14ac:dyDescent="0.25">
      <c r="A33" s="23" t="s">
        <v>129</v>
      </c>
      <c r="B33" s="23"/>
      <c r="C33" s="23"/>
      <c r="D33" s="23"/>
      <c r="E33" s="72">
        <f>SUM(E28:E32)</f>
        <v>5708</v>
      </c>
      <c r="F33" s="72">
        <f t="shared" ref="F33:I33" si="7">SUM(F28:F32)</f>
        <v>5682</v>
      </c>
      <c r="G33" s="72">
        <f t="shared" si="7"/>
        <v>5472</v>
      </c>
      <c r="H33" s="72">
        <f t="shared" si="7"/>
        <v>5655</v>
      </c>
      <c r="I33" s="72">
        <f t="shared" si="7"/>
        <v>4214</v>
      </c>
    </row>
    <row r="34" spans="1:9" x14ac:dyDescent="0.25">
      <c r="A34" s="23" t="s">
        <v>130</v>
      </c>
      <c r="B34" s="23"/>
      <c r="C34" s="23"/>
      <c r="D34" s="23"/>
      <c r="E34" s="72">
        <f>E25+E33</f>
        <v>5773</v>
      </c>
      <c r="F34" s="72">
        <f t="shared" ref="F34:I34" si="8">F25+F33</f>
        <v>5813</v>
      </c>
      <c r="G34" s="72">
        <f t="shared" si="8"/>
        <v>5669</v>
      </c>
      <c r="H34" s="72">
        <f t="shared" si="8"/>
        <v>6019</v>
      </c>
      <c r="I34" s="72">
        <f t="shared" si="8"/>
        <v>4644</v>
      </c>
    </row>
    <row r="35" spans="1:9" x14ac:dyDescent="0.25">
      <c r="A35" s="23"/>
      <c r="B35" s="23"/>
      <c r="C35" s="23"/>
      <c r="D35" s="23"/>
      <c r="E35" s="72"/>
      <c r="F35" s="72"/>
      <c r="G35" s="72"/>
      <c r="H35" s="72"/>
      <c r="I35" s="72"/>
    </row>
    <row r="36" spans="1:9" x14ac:dyDescent="0.25">
      <c r="A36" s="23" t="s">
        <v>156</v>
      </c>
      <c r="E36" s="71"/>
      <c r="F36" s="71"/>
      <c r="G36" s="71"/>
      <c r="H36" s="71"/>
      <c r="I36" s="71"/>
    </row>
    <row r="37" spans="1:9" x14ac:dyDescent="0.25">
      <c r="A37" s="23" t="s">
        <v>157</v>
      </c>
      <c r="E37" s="71"/>
      <c r="F37" s="71"/>
      <c r="G37" s="71"/>
      <c r="H37" s="71"/>
      <c r="I37" s="71"/>
    </row>
    <row r="38" spans="1:9" x14ac:dyDescent="0.25">
      <c r="A38" t="s">
        <v>131</v>
      </c>
      <c r="E38" s="71">
        <v>1600</v>
      </c>
      <c r="F38" s="71">
        <v>1600</v>
      </c>
      <c r="G38" s="71">
        <v>600</v>
      </c>
      <c r="H38" s="71">
        <v>600</v>
      </c>
      <c r="I38" s="71">
        <v>600</v>
      </c>
    </row>
    <row r="39" spans="1:9" x14ac:dyDescent="0.25">
      <c r="A39" t="s">
        <v>158</v>
      </c>
      <c r="E39" s="74">
        <v>-93</v>
      </c>
      <c r="F39" s="74">
        <v>-500</v>
      </c>
      <c r="G39" s="74">
        <v>-854</v>
      </c>
      <c r="H39" s="74">
        <v>-190</v>
      </c>
      <c r="I39" s="74">
        <v>61</v>
      </c>
    </row>
    <row r="40" spans="1:9" x14ac:dyDescent="0.25">
      <c r="A40" s="23" t="s">
        <v>132</v>
      </c>
      <c r="B40" s="23"/>
      <c r="C40" s="23"/>
      <c r="D40" s="23"/>
      <c r="E40" s="72">
        <f>SUM(E38:E39)</f>
        <v>1507</v>
      </c>
      <c r="F40" s="72">
        <f>SUM(F38:F39)</f>
        <v>1100</v>
      </c>
      <c r="G40" s="72">
        <f>SUM(G38:G39)</f>
        <v>-254</v>
      </c>
      <c r="H40" s="72">
        <f>SUM(H38:H39)</f>
        <v>410</v>
      </c>
      <c r="I40" s="72">
        <f>SUM(I38:I39)</f>
        <v>661</v>
      </c>
    </row>
    <row r="41" spans="1:9" x14ac:dyDescent="0.25">
      <c r="A41" s="23"/>
      <c r="B41" s="23"/>
      <c r="C41" s="23"/>
      <c r="D41" s="23"/>
      <c r="E41" s="72"/>
      <c r="F41" s="72"/>
      <c r="G41" s="72"/>
      <c r="H41" s="72"/>
      <c r="I41" s="72"/>
    </row>
    <row r="42" spans="1:9" x14ac:dyDescent="0.25">
      <c r="A42" s="23" t="s">
        <v>159</v>
      </c>
      <c r="E42" s="71"/>
      <c r="F42" s="71"/>
      <c r="G42" s="71"/>
      <c r="H42" s="71"/>
      <c r="I42" s="71"/>
    </row>
    <row r="43" spans="1:9" x14ac:dyDescent="0.25">
      <c r="A43" t="s">
        <v>138</v>
      </c>
      <c r="E43" s="74">
        <v>3405</v>
      </c>
      <c r="F43" s="74">
        <v>3654</v>
      </c>
      <c r="G43" s="74">
        <v>5094</v>
      </c>
      <c r="H43" s="74">
        <v>4738</v>
      </c>
      <c r="I43" s="74">
        <v>2988</v>
      </c>
    </row>
    <row r="44" spans="1:9" x14ac:dyDescent="0.25">
      <c r="A44" s="23" t="s">
        <v>133</v>
      </c>
      <c r="B44" s="23"/>
      <c r="C44" s="23"/>
      <c r="D44" s="23"/>
      <c r="E44" s="72">
        <f>SUM(E43)</f>
        <v>3405</v>
      </c>
      <c r="F44" s="72">
        <f t="shared" ref="F44:I44" si="9">SUM(F43)</f>
        <v>3654</v>
      </c>
      <c r="G44" s="72">
        <f t="shared" si="9"/>
        <v>5094</v>
      </c>
      <c r="H44" s="72">
        <f t="shared" si="9"/>
        <v>4738</v>
      </c>
      <c r="I44" s="72">
        <f t="shared" si="9"/>
        <v>2988</v>
      </c>
    </row>
    <row r="45" spans="1:9" x14ac:dyDescent="0.25">
      <c r="E45" s="71"/>
      <c r="F45" s="71"/>
      <c r="G45" s="71"/>
      <c r="H45" s="71"/>
      <c r="I45" s="71"/>
    </row>
    <row r="46" spans="1:9" x14ac:dyDescent="0.25">
      <c r="A46" t="s">
        <v>134</v>
      </c>
      <c r="E46" s="71">
        <v>374</v>
      </c>
      <c r="F46" s="71">
        <v>519</v>
      </c>
      <c r="G46" s="71">
        <v>298</v>
      </c>
      <c r="H46" s="71">
        <v>343</v>
      </c>
      <c r="I46" s="71">
        <v>268</v>
      </c>
    </row>
    <row r="47" spans="1:9" x14ac:dyDescent="0.25">
      <c r="A47" t="s">
        <v>160</v>
      </c>
      <c r="E47" s="71">
        <v>355</v>
      </c>
      <c r="F47" s="71">
        <v>372</v>
      </c>
      <c r="G47" s="71">
        <v>322</v>
      </c>
      <c r="H47" s="71">
        <v>347</v>
      </c>
      <c r="I47" s="71">
        <v>482</v>
      </c>
    </row>
    <row r="48" spans="1:9" x14ac:dyDescent="0.25">
      <c r="A48" t="s">
        <v>161</v>
      </c>
      <c r="E48" s="74">
        <v>132</v>
      </c>
      <c r="F48" s="74">
        <v>168</v>
      </c>
      <c r="G48" s="74">
        <v>209</v>
      </c>
      <c r="H48" s="74">
        <v>181</v>
      </c>
      <c r="I48" s="74">
        <v>245</v>
      </c>
    </row>
    <row r="49" spans="1:17" x14ac:dyDescent="0.25">
      <c r="A49" s="23" t="s">
        <v>135</v>
      </c>
      <c r="B49" s="23"/>
      <c r="C49" s="23"/>
      <c r="D49" s="23"/>
      <c r="E49" s="72">
        <f>SUM(E46:E48)</f>
        <v>861</v>
      </c>
      <c r="F49" s="72">
        <f t="shared" ref="F49:I49" si="10">SUM(F46:F48)</f>
        <v>1059</v>
      </c>
      <c r="G49" s="72">
        <f t="shared" si="10"/>
        <v>829</v>
      </c>
      <c r="H49" s="72">
        <f t="shared" si="10"/>
        <v>871</v>
      </c>
      <c r="I49" s="72">
        <f t="shared" si="10"/>
        <v>995</v>
      </c>
    </row>
    <row r="50" spans="1:17" x14ac:dyDescent="0.25">
      <c r="A50" s="23" t="s">
        <v>136</v>
      </c>
      <c r="B50" s="23"/>
      <c r="C50" s="23"/>
      <c r="D50" s="23"/>
      <c r="E50" s="72">
        <f>E44+E49</f>
        <v>4266</v>
      </c>
      <c r="F50" s="72">
        <f t="shared" ref="F50:I50" si="11">F44+F49</f>
        <v>4713</v>
      </c>
      <c r="G50" s="72">
        <f t="shared" si="11"/>
        <v>5923</v>
      </c>
      <c r="H50" s="72">
        <f t="shared" si="11"/>
        <v>5609</v>
      </c>
      <c r="I50" s="72">
        <f t="shared" si="11"/>
        <v>3983</v>
      </c>
    </row>
    <row r="51" spans="1:17" x14ac:dyDescent="0.25">
      <c r="A51" s="23" t="s">
        <v>137</v>
      </c>
      <c r="B51" s="23"/>
      <c r="C51" s="23"/>
      <c r="D51" s="23"/>
      <c r="E51" s="72">
        <f>E40+E50</f>
        <v>5773</v>
      </c>
      <c r="F51" s="72">
        <f t="shared" ref="F51:I51" si="12">F40+F50</f>
        <v>5813</v>
      </c>
      <c r="G51" s="72">
        <f t="shared" si="12"/>
        <v>5669</v>
      </c>
      <c r="H51" s="72">
        <f t="shared" si="12"/>
        <v>6019</v>
      </c>
      <c r="I51" s="72">
        <f t="shared" si="12"/>
        <v>4644</v>
      </c>
    </row>
    <row r="53" spans="1:17" x14ac:dyDescent="0.25">
      <c r="A53" s="23" t="s">
        <v>162</v>
      </c>
    </row>
    <row r="54" spans="1:17" x14ac:dyDescent="0.25">
      <c r="A54" s="23" t="s">
        <v>163</v>
      </c>
      <c r="E54" s="31"/>
      <c r="F54" s="31">
        <v>6.8454973001219305E-2</v>
      </c>
      <c r="G54" s="31">
        <v>-9.3913620807666007E-2</v>
      </c>
      <c r="H54" s="31">
        <v>-4.4640345118634531E-2</v>
      </c>
      <c r="I54" s="31">
        <v>6.8599999999999994E-2</v>
      </c>
      <c r="K54" s="23" t="s">
        <v>174</v>
      </c>
    </row>
    <row r="55" spans="1:17" x14ac:dyDescent="0.25">
      <c r="A55" s="23" t="s">
        <v>140</v>
      </c>
      <c r="E55" s="31"/>
      <c r="F55" s="31">
        <v>7.5898030127462338E-2</v>
      </c>
      <c r="G55" s="31">
        <v>-0.12412389780691838</v>
      </c>
      <c r="H55" s="31">
        <v>-4.5593869731800768E-2</v>
      </c>
      <c r="I55" s="31">
        <v>4.233197177868548E-2</v>
      </c>
      <c r="M55" s="22">
        <v>2022</v>
      </c>
      <c r="N55" s="22">
        <v>2021</v>
      </c>
      <c r="O55" s="22">
        <v>2020</v>
      </c>
      <c r="P55" s="22">
        <v>2019</v>
      </c>
      <c r="Q55" s="22">
        <v>2018</v>
      </c>
    </row>
    <row r="56" spans="1:17" x14ac:dyDescent="0.25">
      <c r="A56" s="23" t="s">
        <v>141</v>
      </c>
      <c r="E56" s="73"/>
      <c r="F56" s="73">
        <f t="shared" ref="F56:H56" si="13">F3/((F34+G34)/2)</f>
        <v>0.90193346106950012</v>
      </c>
      <c r="G56" s="73">
        <f t="shared" si="13"/>
        <v>0.75684462696783028</v>
      </c>
      <c r="H56" s="73">
        <f t="shared" si="13"/>
        <v>0.97908656100534563</v>
      </c>
      <c r="I56" s="73">
        <v>1.62</v>
      </c>
      <c r="K56" t="s">
        <v>116</v>
      </c>
      <c r="L56" s="31"/>
      <c r="M56" s="8">
        <f t="shared" ref="M56:P56" si="14">E2/E2</f>
        <v>1</v>
      </c>
      <c r="N56" s="8">
        <f t="shared" si="14"/>
        <v>1</v>
      </c>
      <c r="O56" s="8">
        <f t="shared" si="14"/>
        <v>1</v>
      </c>
      <c r="P56" s="8">
        <f t="shared" si="14"/>
        <v>1</v>
      </c>
      <c r="Q56" s="8">
        <f>I2/I2</f>
        <v>1</v>
      </c>
    </row>
    <row r="57" spans="1:17" x14ac:dyDescent="0.25">
      <c r="A57" s="23" t="s">
        <v>139</v>
      </c>
      <c r="E57" s="73"/>
      <c r="F57" s="73">
        <v>5.3654390934844196</v>
      </c>
      <c r="G57" s="73">
        <v>6.6007237635705671</v>
      </c>
      <c r="H57" s="73">
        <v>6.4925373134328357</v>
      </c>
      <c r="I57" s="73">
        <v>4.2351758793969854</v>
      </c>
      <c r="K57" t="s">
        <v>118</v>
      </c>
      <c r="M57" s="8">
        <f>E4/$E$2</f>
        <v>0.51109801610685524</v>
      </c>
      <c r="N57" s="8">
        <f>F4/$F$2</f>
        <v>0.4868675164156045</v>
      </c>
      <c r="O57" s="8">
        <f>G4/$G$2</f>
        <v>0.46461677594392947</v>
      </c>
      <c r="P57" s="8">
        <f>H4/$H$2</f>
        <v>0.46724137931034482</v>
      </c>
      <c r="Q57" s="8">
        <f>I4/$I$2</f>
        <v>0.58608738705285313</v>
      </c>
    </row>
    <row r="58" spans="1:17" x14ac:dyDescent="0.25">
      <c r="A58" s="23" t="s">
        <v>142</v>
      </c>
      <c r="E58" s="31"/>
      <c r="F58" s="31">
        <v>0.18923103388955789</v>
      </c>
      <c r="G58" s="31">
        <v>-4.4805080261068969E-2</v>
      </c>
      <c r="H58" s="31">
        <v>6.8117627512875895E-2</v>
      </c>
      <c r="I58" s="31">
        <v>0.14233419465977606</v>
      </c>
      <c r="K58" t="s">
        <v>119</v>
      </c>
      <c r="M58" s="8">
        <f t="shared" ref="M58:M61" si="15">E5/$E$2</f>
        <v>0.11746218817521116</v>
      </c>
      <c r="N58" s="8">
        <f t="shared" ref="N58:N61" si="16">F5/$F$2</f>
        <v>0.16589416763229045</v>
      </c>
      <c r="O58" s="8">
        <f t="shared" ref="O58:O61" si="17">G5/$G$2</f>
        <v>0.33167533348406059</v>
      </c>
      <c r="P58" s="8">
        <f t="shared" ref="P58:P61" si="18">H5/$H$2</f>
        <v>0.28007662835249042</v>
      </c>
      <c r="Q58" s="8">
        <f t="shared" ref="Q58:Q61" si="19">I5/$I$2</f>
        <v>0.17502166109667039</v>
      </c>
    </row>
    <row r="59" spans="1:17" x14ac:dyDescent="0.25">
      <c r="K59" t="s">
        <v>120</v>
      </c>
      <c r="M59" s="8">
        <f t="shared" si="15"/>
        <v>1.296405421331762E-2</v>
      </c>
      <c r="N59" s="8">
        <f t="shared" si="16"/>
        <v>1.2746234067207415E-2</v>
      </c>
      <c r="O59" s="8">
        <f t="shared" si="17"/>
        <v>1.4921998643454669E-2</v>
      </c>
      <c r="P59" s="8">
        <f t="shared" si="18"/>
        <v>1.264367816091954E-2</v>
      </c>
      <c r="Q59" s="8">
        <f t="shared" si="19"/>
        <v>8.1693278871147416E-3</v>
      </c>
    </row>
    <row r="60" spans="1:17" x14ac:dyDescent="0.25">
      <c r="K60" t="s">
        <v>121</v>
      </c>
      <c r="M60" s="8">
        <f t="shared" si="15"/>
        <v>0.2899233942251031</v>
      </c>
      <c r="N60" s="8">
        <f t="shared" si="16"/>
        <v>0.26284279644650443</v>
      </c>
      <c r="O60" s="8">
        <f t="shared" si="17"/>
        <v>0.31607506217499437</v>
      </c>
      <c r="P60" s="8">
        <f t="shared" si="18"/>
        <v>0.28888888888888886</v>
      </c>
      <c r="Q60" s="8">
        <f t="shared" si="19"/>
        <v>0.19074142839460329</v>
      </c>
    </row>
    <row r="61" spans="1:17" x14ac:dyDescent="0.25">
      <c r="K61" s="23" t="s">
        <v>122</v>
      </c>
      <c r="M61" s="8">
        <f t="shared" si="15"/>
        <v>6.8552347279512871E-2</v>
      </c>
      <c r="N61" s="8">
        <f t="shared" si="16"/>
        <v>7.1649285438393204E-2</v>
      </c>
      <c r="O61" s="8">
        <f t="shared" si="17"/>
        <v>-0.12728917024643907</v>
      </c>
      <c r="P61" s="8">
        <f t="shared" si="18"/>
        <v>-4.8850574712643681E-2</v>
      </c>
      <c r="Q61" s="8">
        <f t="shared" si="19"/>
        <v>3.9980195568758509E-2</v>
      </c>
    </row>
    <row r="63" spans="1:17" x14ac:dyDescent="0.25">
      <c r="K63" s="23" t="s">
        <v>175</v>
      </c>
      <c r="M63" s="80"/>
      <c r="N63" s="80"/>
      <c r="O63" s="80"/>
      <c r="P63" s="80"/>
      <c r="Q63" s="80"/>
    </row>
    <row r="64" spans="1:17" x14ac:dyDescent="0.25">
      <c r="M64" s="22">
        <v>2022</v>
      </c>
      <c r="N64" s="22">
        <v>2021</v>
      </c>
      <c r="O64" s="22">
        <v>2020</v>
      </c>
      <c r="P64" s="22">
        <v>2019</v>
      </c>
      <c r="Q64" s="22">
        <v>2018</v>
      </c>
    </row>
    <row r="65" spans="11:17" x14ac:dyDescent="0.25">
      <c r="K65" t="s">
        <v>116</v>
      </c>
      <c r="M65" s="8">
        <f t="shared" ref="M65:O65" si="20">E2/$I$2</f>
        <v>0.63015224656516899</v>
      </c>
      <c r="N65" s="8">
        <f t="shared" si="20"/>
        <v>0.64092090605272933</v>
      </c>
      <c r="O65" s="8">
        <f t="shared" si="20"/>
        <v>0.54746874613194707</v>
      </c>
      <c r="P65" s="8">
        <f>H2/$I$2</f>
        <v>0.64611956925362046</v>
      </c>
      <c r="Q65" s="8">
        <f>I2/I2</f>
        <v>1</v>
      </c>
    </row>
    <row r="66" spans="11:17" x14ac:dyDescent="0.25">
      <c r="K66" t="s">
        <v>118</v>
      </c>
      <c r="M66" s="8">
        <f t="shared" ref="M66:O66" si="21">E4/$I$4</f>
        <v>0.54952481520591345</v>
      </c>
      <c r="N66" s="8">
        <f t="shared" si="21"/>
        <v>0.53241816261879615</v>
      </c>
      <c r="O66" s="8">
        <f t="shared" si="21"/>
        <v>0.43400211193241817</v>
      </c>
      <c r="P66" s="8">
        <f>H4/$I$4</f>
        <v>0.51510031678986268</v>
      </c>
      <c r="Q66" s="8">
        <f t="shared" ref="Q66:Q70" si="22">I4/I4</f>
        <v>1</v>
      </c>
    </row>
    <row r="67" spans="11:17" x14ac:dyDescent="0.25">
      <c r="K67" t="s">
        <v>119</v>
      </c>
      <c r="M67" s="8">
        <f t="shared" ref="M67:O67" si="23">E5/$I$5</f>
        <v>0.42291371994342292</v>
      </c>
      <c r="N67" s="8">
        <f t="shared" si="23"/>
        <v>0.60749646393210754</v>
      </c>
      <c r="O67" s="8">
        <f t="shared" si="23"/>
        <v>1.0374823196605374</v>
      </c>
      <c r="P67" s="8">
        <f>H5/$I$5</f>
        <v>1.033946251768034</v>
      </c>
      <c r="Q67" s="8">
        <f t="shared" si="22"/>
        <v>1</v>
      </c>
    </row>
    <row r="68" spans="11:17" x14ac:dyDescent="0.25">
      <c r="K68" t="s">
        <v>120</v>
      </c>
      <c r="M68" s="8">
        <f t="shared" ref="M68:O68" si="24">E6/$I$6</f>
        <v>1</v>
      </c>
      <c r="N68" s="8">
        <f t="shared" si="24"/>
        <v>1</v>
      </c>
      <c r="O68" s="8">
        <f t="shared" si="24"/>
        <v>1</v>
      </c>
      <c r="P68" s="8">
        <f>H6/$I$6</f>
        <v>1</v>
      </c>
      <c r="Q68" s="8">
        <f t="shared" si="22"/>
        <v>1</v>
      </c>
    </row>
    <row r="69" spans="11:17" x14ac:dyDescent="0.25">
      <c r="K69" t="s">
        <v>121</v>
      </c>
      <c r="M69" s="8">
        <f t="shared" ref="M69:O69" si="25">E7/$I$7</f>
        <v>0.9578195976638546</v>
      </c>
      <c r="N69" s="8">
        <f t="shared" si="25"/>
        <v>0.88319273199221282</v>
      </c>
      <c r="O69" s="8">
        <f t="shared" si="25"/>
        <v>0.90720311486048022</v>
      </c>
      <c r="P69" s="8">
        <f>H7/$I$7</f>
        <v>0.97858533419857241</v>
      </c>
      <c r="Q69" s="8">
        <f t="shared" si="22"/>
        <v>1</v>
      </c>
    </row>
    <row r="70" spans="11:17" x14ac:dyDescent="0.25">
      <c r="K70" s="23" t="s">
        <v>122</v>
      </c>
      <c r="M70" s="8">
        <f t="shared" ref="M70:O70" si="26">E8/$I$8</f>
        <v>1.0804953560371517</v>
      </c>
      <c r="N70" s="8">
        <f t="shared" si="26"/>
        <v>1.1486068111455108</v>
      </c>
      <c r="O70" s="8">
        <f t="shared" si="26"/>
        <v>-1.7430340557275541</v>
      </c>
      <c r="P70" s="8">
        <f>H8/$I$8</f>
        <v>-0.78947368421052633</v>
      </c>
      <c r="Q70" s="8">
        <f t="shared" si="22"/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5548-A1E6-4AF9-8A87-57F634F4D386}">
  <dimension ref="A1:P75"/>
  <sheetViews>
    <sheetView topLeftCell="A54" workbookViewId="0">
      <selection activeCell="A71" sqref="A71"/>
    </sheetView>
  </sheetViews>
  <sheetFormatPr baseColWidth="10" defaultRowHeight="15" x14ac:dyDescent="0.25"/>
  <sheetData>
    <row r="1" spans="1:9" x14ac:dyDescent="0.25">
      <c r="A1" s="23" t="s">
        <v>143</v>
      </c>
      <c r="B1" s="23"/>
      <c r="C1" s="23"/>
      <c r="D1" s="23"/>
      <c r="E1" s="23">
        <v>2022</v>
      </c>
      <c r="F1" s="23">
        <v>2021</v>
      </c>
      <c r="G1" s="23">
        <v>2020</v>
      </c>
      <c r="H1" s="23">
        <v>2019</v>
      </c>
      <c r="I1" s="23">
        <v>2018</v>
      </c>
    </row>
    <row r="2" spans="1:9" x14ac:dyDescent="0.25">
      <c r="A2" t="s">
        <v>116</v>
      </c>
      <c r="E2" s="74">
        <v>5091</v>
      </c>
      <c r="F2" s="74">
        <v>5178</v>
      </c>
      <c r="G2" s="74">
        <v>4423</v>
      </c>
      <c r="H2" s="74">
        <v>5220</v>
      </c>
      <c r="I2" s="74">
        <v>8079</v>
      </c>
    </row>
    <row r="3" spans="1:9" x14ac:dyDescent="0.25">
      <c r="A3" s="23" t="s">
        <v>117</v>
      </c>
      <c r="B3" s="23"/>
      <c r="C3" s="23"/>
      <c r="D3" s="23"/>
      <c r="E3" s="72">
        <f>SUM(E2)</f>
        <v>5091</v>
      </c>
      <c r="F3" s="72">
        <f t="shared" ref="F3:I3" si="0">SUM(F2)</f>
        <v>5178</v>
      </c>
      <c r="G3" s="72">
        <f t="shared" si="0"/>
        <v>4423</v>
      </c>
      <c r="H3" s="72">
        <f t="shared" si="0"/>
        <v>5220</v>
      </c>
      <c r="I3" s="72">
        <f t="shared" si="0"/>
        <v>8079</v>
      </c>
    </row>
    <row r="4" spans="1:9" x14ac:dyDescent="0.25">
      <c r="A4" t="s">
        <v>118</v>
      </c>
      <c r="E4" s="71">
        <v>2602</v>
      </c>
      <c r="F4" s="71">
        <v>2521</v>
      </c>
      <c r="G4" s="71">
        <v>2055</v>
      </c>
      <c r="H4" s="71">
        <v>2439</v>
      </c>
      <c r="I4" s="71">
        <v>4735</v>
      </c>
    </row>
    <row r="5" spans="1:9" x14ac:dyDescent="0.25">
      <c r="A5" t="s">
        <v>119</v>
      </c>
      <c r="E5" s="71">
        <v>598</v>
      </c>
      <c r="F5" s="71">
        <v>859</v>
      </c>
      <c r="G5" s="71">
        <v>1467</v>
      </c>
      <c r="H5" s="71">
        <v>1462</v>
      </c>
      <c r="I5" s="71">
        <v>1414</v>
      </c>
    </row>
    <row r="6" spans="1:9" x14ac:dyDescent="0.25">
      <c r="A6" t="s">
        <v>120</v>
      </c>
      <c r="E6" s="71">
        <v>66</v>
      </c>
      <c r="F6" s="71">
        <v>66</v>
      </c>
      <c r="G6" s="71">
        <v>66</v>
      </c>
      <c r="H6" s="71">
        <v>66</v>
      </c>
      <c r="I6" s="71">
        <v>66</v>
      </c>
    </row>
    <row r="7" spans="1:9" x14ac:dyDescent="0.25">
      <c r="A7" t="s">
        <v>121</v>
      </c>
      <c r="E7" s="74">
        <v>1476</v>
      </c>
      <c r="F7" s="74">
        <v>1361</v>
      </c>
      <c r="G7" s="74">
        <v>1398</v>
      </c>
      <c r="H7" s="74">
        <v>1508</v>
      </c>
      <c r="I7" s="74">
        <v>1541</v>
      </c>
    </row>
    <row r="8" spans="1:9" x14ac:dyDescent="0.25">
      <c r="A8" s="23" t="s">
        <v>122</v>
      </c>
      <c r="B8" s="23"/>
      <c r="C8" s="23"/>
      <c r="D8" s="23"/>
      <c r="E8" s="72">
        <f>E3-E4-E5-E6-E7</f>
        <v>349</v>
      </c>
      <c r="F8" s="72">
        <f t="shared" ref="F8:I8" si="1">F3-F4-F5-F6-F7</f>
        <v>371</v>
      </c>
      <c r="G8" s="72">
        <f t="shared" si="1"/>
        <v>-563</v>
      </c>
      <c r="H8" s="72">
        <f t="shared" si="1"/>
        <v>-255</v>
      </c>
      <c r="I8" s="72">
        <f t="shared" si="1"/>
        <v>323</v>
      </c>
    </row>
    <row r="9" spans="1:9" x14ac:dyDescent="0.25">
      <c r="A9" t="s">
        <v>123</v>
      </c>
      <c r="E9" s="71">
        <v>0</v>
      </c>
      <c r="F9" s="71">
        <v>0</v>
      </c>
      <c r="G9" s="71">
        <v>0</v>
      </c>
      <c r="H9" s="71">
        <v>0</v>
      </c>
      <c r="I9" s="71">
        <v>1</v>
      </c>
    </row>
    <row r="10" spans="1:9" x14ac:dyDescent="0.25">
      <c r="A10" t="s">
        <v>124</v>
      </c>
      <c r="E10" s="74">
        <v>72</v>
      </c>
      <c r="F10" s="74">
        <v>22</v>
      </c>
      <c r="G10" s="74">
        <v>14</v>
      </c>
      <c r="H10" s="74">
        <v>17</v>
      </c>
      <c r="I10" s="74">
        <v>18</v>
      </c>
    </row>
    <row r="11" spans="1:9" x14ac:dyDescent="0.25">
      <c r="A11" s="23" t="s">
        <v>125</v>
      </c>
      <c r="B11" s="23"/>
      <c r="C11" s="23"/>
      <c r="D11" s="23"/>
      <c r="E11" s="72">
        <f>SUM(E9:E10)</f>
        <v>72</v>
      </c>
      <c r="F11" s="72">
        <f t="shared" ref="F11:I11" si="2">SUM(F9:F10)</f>
        <v>22</v>
      </c>
      <c r="G11" s="72">
        <f t="shared" si="2"/>
        <v>14</v>
      </c>
      <c r="H11" s="72">
        <f t="shared" si="2"/>
        <v>17</v>
      </c>
      <c r="I11" s="72">
        <f t="shared" si="2"/>
        <v>19</v>
      </c>
    </row>
    <row r="12" spans="1:9" x14ac:dyDescent="0.25">
      <c r="A12" t="s">
        <v>126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5">
      <c r="A13" t="s">
        <v>164</v>
      </c>
      <c r="E13" s="74">
        <v>14</v>
      </c>
      <c r="F13" s="74">
        <v>40</v>
      </c>
      <c r="G13" s="74">
        <v>15</v>
      </c>
      <c r="H13" s="74">
        <v>13</v>
      </c>
      <c r="I13" s="74">
        <v>29</v>
      </c>
    </row>
    <row r="14" spans="1:9" x14ac:dyDescent="0.25">
      <c r="A14" s="23" t="s">
        <v>144</v>
      </c>
      <c r="B14" s="23"/>
      <c r="C14" s="23"/>
      <c r="D14" s="23"/>
      <c r="E14" s="75">
        <f>SUM(E12:E13)</f>
        <v>14</v>
      </c>
      <c r="F14" s="75">
        <f t="shared" ref="F14:I14" si="3">SUM(F12:F13)</f>
        <v>40</v>
      </c>
      <c r="G14" s="75">
        <f t="shared" si="3"/>
        <v>15</v>
      </c>
      <c r="H14" s="75">
        <f t="shared" si="3"/>
        <v>13</v>
      </c>
      <c r="I14" s="75">
        <f t="shared" si="3"/>
        <v>29</v>
      </c>
    </row>
    <row r="15" spans="1:9" x14ac:dyDescent="0.25">
      <c r="A15" s="23" t="s">
        <v>145</v>
      </c>
      <c r="B15" s="23"/>
      <c r="C15" s="23"/>
      <c r="D15" s="23"/>
      <c r="E15" s="72">
        <f>E8+E11-E14</f>
        <v>407</v>
      </c>
      <c r="F15" s="72">
        <f t="shared" ref="F15:I15" si="4">F8+F11-F14</f>
        <v>353</v>
      </c>
      <c r="G15" s="72">
        <f t="shared" si="4"/>
        <v>-564</v>
      </c>
      <c r="H15" s="72">
        <f t="shared" si="4"/>
        <v>-251</v>
      </c>
      <c r="I15" s="72">
        <f t="shared" si="4"/>
        <v>313</v>
      </c>
    </row>
    <row r="16" spans="1:9" x14ac:dyDescent="0.25">
      <c r="A16" t="s">
        <v>127</v>
      </c>
      <c r="E16" s="74">
        <v>0</v>
      </c>
      <c r="F16" s="74">
        <v>0</v>
      </c>
      <c r="G16" s="74">
        <v>-100</v>
      </c>
      <c r="H16" s="74">
        <v>0</v>
      </c>
      <c r="I16" s="74">
        <v>0</v>
      </c>
    </row>
    <row r="17" spans="1:9" x14ac:dyDescent="0.25">
      <c r="A17" s="23" t="s">
        <v>128</v>
      </c>
      <c r="B17" s="23"/>
      <c r="C17" s="23"/>
      <c r="D17" s="23"/>
      <c r="E17" s="72">
        <f>SUM(E15:E16)</f>
        <v>407</v>
      </c>
      <c r="F17" s="72">
        <f t="shared" ref="F17:I17" si="5">SUM(F15:F16)</f>
        <v>353</v>
      </c>
      <c r="G17" s="72">
        <f t="shared" si="5"/>
        <v>-664</v>
      </c>
      <c r="H17" s="72">
        <f t="shared" si="5"/>
        <v>-251</v>
      </c>
      <c r="I17" s="72">
        <f t="shared" si="5"/>
        <v>313</v>
      </c>
    </row>
    <row r="18" spans="1:9" x14ac:dyDescent="0.25">
      <c r="E18" s="20"/>
      <c r="F18" s="20"/>
      <c r="G18" s="20"/>
      <c r="H18" s="20"/>
      <c r="I18" s="20"/>
    </row>
    <row r="19" spans="1:9" x14ac:dyDescent="0.25">
      <c r="A19" t="s">
        <v>146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</row>
    <row r="20" spans="1:9" x14ac:dyDescent="0.25">
      <c r="E20" s="20"/>
      <c r="F20" s="20"/>
      <c r="G20" s="20"/>
      <c r="H20" s="20"/>
      <c r="I20" s="20"/>
    </row>
    <row r="21" spans="1:9" x14ac:dyDescent="0.25">
      <c r="A21" s="23" t="s">
        <v>147</v>
      </c>
      <c r="B21" s="23"/>
      <c r="C21" s="23"/>
      <c r="D21" s="23"/>
      <c r="E21" s="23">
        <v>2022</v>
      </c>
      <c r="F21" s="23">
        <v>2021</v>
      </c>
      <c r="G21" s="23">
        <v>2020</v>
      </c>
      <c r="H21" s="23">
        <v>2019</v>
      </c>
      <c r="I21" s="23">
        <v>2018</v>
      </c>
    </row>
    <row r="22" spans="1:9" x14ac:dyDescent="0.25">
      <c r="A22" s="23" t="s">
        <v>148</v>
      </c>
      <c r="B22" s="23"/>
      <c r="C22" s="23"/>
      <c r="D22" s="23"/>
      <c r="E22" s="72"/>
      <c r="F22" s="72"/>
      <c r="G22" s="72"/>
      <c r="H22" s="72"/>
      <c r="I22" s="72"/>
    </row>
    <row r="23" spans="1:9" x14ac:dyDescent="0.25">
      <c r="A23" t="s">
        <v>149</v>
      </c>
      <c r="B23" s="23"/>
      <c r="C23" s="23"/>
      <c r="D23" s="23"/>
      <c r="E23" s="71">
        <v>0</v>
      </c>
      <c r="F23" s="71">
        <v>0</v>
      </c>
      <c r="G23" s="71">
        <v>0</v>
      </c>
      <c r="H23" s="71">
        <v>100</v>
      </c>
      <c r="I23" s="71">
        <v>100</v>
      </c>
    </row>
    <row r="24" spans="1:9" x14ac:dyDescent="0.25">
      <c r="A24" t="s">
        <v>150</v>
      </c>
      <c r="E24" s="74">
        <v>65</v>
      </c>
      <c r="F24" s="74">
        <v>131</v>
      </c>
      <c r="G24" s="74">
        <v>197</v>
      </c>
      <c r="H24" s="74">
        <v>264</v>
      </c>
      <c r="I24" s="74">
        <v>330</v>
      </c>
    </row>
    <row r="25" spans="1:9" x14ac:dyDescent="0.25">
      <c r="A25" s="23" t="s">
        <v>151</v>
      </c>
      <c r="B25" s="23"/>
      <c r="C25" s="23"/>
      <c r="D25" s="23"/>
      <c r="E25" s="72">
        <f>SUM(E23:E24)</f>
        <v>65</v>
      </c>
      <c r="F25" s="72">
        <f t="shared" ref="F25:I25" si="6">SUM(F23:F24)</f>
        <v>131</v>
      </c>
      <c r="G25" s="72">
        <f t="shared" si="6"/>
        <v>197</v>
      </c>
      <c r="H25" s="72">
        <f t="shared" si="6"/>
        <v>364</v>
      </c>
      <c r="I25" s="72">
        <f t="shared" si="6"/>
        <v>430</v>
      </c>
    </row>
    <row r="26" spans="1:9" x14ac:dyDescent="0.25">
      <c r="A26" s="23"/>
      <c r="B26" s="23"/>
      <c r="C26" s="23"/>
      <c r="D26" s="23"/>
      <c r="E26" s="72"/>
      <c r="F26" s="72"/>
      <c r="G26" s="72"/>
      <c r="H26" s="72"/>
      <c r="I26" s="72"/>
    </row>
    <row r="27" spans="1:9" x14ac:dyDescent="0.25">
      <c r="A27" s="23" t="s">
        <v>152</v>
      </c>
      <c r="B27" s="23"/>
      <c r="C27" s="23"/>
      <c r="D27" s="23"/>
      <c r="E27" s="72"/>
      <c r="F27" s="72"/>
      <c r="G27" s="72"/>
      <c r="H27" s="72"/>
      <c r="I27" s="72"/>
    </row>
    <row r="28" spans="1:9" x14ac:dyDescent="0.25">
      <c r="A28" t="s">
        <v>55</v>
      </c>
      <c r="E28" s="76">
        <v>4728</v>
      </c>
      <c r="F28" s="76">
        <v>4774</v>
      </c>
      <c r="G28" s="76">
        <v>4797</v>
      </c>
      <c r="H28" s="76">
        <v>4682</v>
      </c>
      <c r="I28" s="76">
        <v>3897</v>
      </c>
    </row>
    <row r="29" spans="1:9" x14ac:dyDescent="0.25">
      <c r="A29" t="s">
        <v>113</v>
      </c>
      <c r="E29" s="76">
        <v>41</v>
      </c>
      <c r="F29" s="76">
        <v>26</v>
      </c>
      <c r="G29" s="76">
        <v>36</v>
      </c>
      <c r="H29" s="76">
        <v>30</v>
      </c>
      <c r="I29" s="76">
        <v>0</v>
      </c>
    </row>
    <row r="30" spans="1:9" x14ac:dyDescent="0.25">
      <c r="A30" t="s">
        <v>153</v>
      </c>
      <c r="E30" s="76">
        <v>128</v>
      </c>
      <c r="F30" s="76">
        <v>107</v>
      </c>
      <c r="G30" s="76">
        <v>48</v>
      </c>
      <c r="H30" s="76">
        <v>90</v>
      </c>
      <c r="I30" s="76">
        <v>90</v>
      </c>
    </row>
    <row r="31" spans="1:9" x14ac:dyDescent="0.25">
      <c r="A31" t="s">
        <v>154</v>
      </c>
      <c r="E31" s="76">
        <v>58</v>
      </c>
      <c r="F31" s="76">
        <v>22</v>
      </c>
      <c r="G31" s="76">
        <v>22</v>
      </c>
      <c r="H31" s="76">
        <v>22</v>
      </c>
      <c r="I31" s="76">
        <v>22</v>
      </c>
    </row>
    <row r="32" spans="1:9" x14ac:dyDescent="0.25">
      <c r="A32" t="s">
        <v>155</v>
      </c>
      <c r="E32" s="77">
        <v>753</v>
      </c>
      <c r="F32" s="77">
        <v>753</v>
      </c>
      <c r="G32" s="77">
        <v>569</v>
      </c>
      <c r="H32" s="77">
        <v>831</v>
      </c>
      <c r="I32" s="77">
        <v>205</v>
      </c>
    </row>
    <row r="33" spans="1:9" x14ac:dyDescent="0.25">
      <c r="A33" s="23" t="s">
        <v>129</v>
      </c>
      <c r="B33" s="23"/>
      <c r="C33" s="23"/>
      <c r="D33" s="23"/>
      <c r="E33" s="72">
        <f>SUM(E28:E32)</f>
        <v>5708</v>
      </c>
      <c r="F33" s="72">
        <f t="shared" ref="F33:I33" si="7">SUM(F28:F32)</f>
        <v>5682</v>
      </c>
      <c r="G33" s="72">
        <f t="shared" si="7"/>
        <v>5472</v>
      </c>
      <c r="H33" s="72">
        <f t="shared" si="7"/>
        <v>5655</v>
      </c>
      <c r="I33" s="72">
        <f t="shared" si="7"/>
        <v>4214</v>
      </c>
    </row>
    <row r="34" spans="1:9" x14ac:dyDescent="0.25">
      <c r="A34" s="23" t="s">
        <v>130</v>
      </c>
      <c r="B34" s="23"/>
      <c r="C34" s="23"/>
      <c r="D34" s="23"/>
      <c r="E34" s="72">
        <f>E25+E33</f>
        <v>5773</v>
      </c>
      <c r="F34" s="72">
        <f t="shared" ref="F34:I34" si="8">F25+F33</f>
        <v>5813</v>
      </c>
      <c r="G34" s="72">
        <f t="shared" si="8"/>
        <v>5669</v>
      </c>
      <c r="H34" s="72">
        <f t="shared" si="8"/>
        <v>6019</v>
      </c>
      <c r="I34" s="72">
        <f t="shared" si="8"/>
        <v>4644</v>
      </c>
    </row>
    <row r="35" spans="1:9" x14ac:dyDescent="0.25">
      <c r="A35" s="23"/>
      <c r="B35" s="23"/>
      <c r="C35" s="23"/>
      <c r="D35" s="23"/>
      <c r="E35" s="72"/>
      <c r="F35" s="72"/>
      <c r="G35" s="72"/>
      <c r="H35" s="72"/>
      <c r="I35" s="72"/>
    </row>
    <row r="36" spans="1:9" x14ac:dyDescent="0.25">
      <c r="A36" s="23" t="s">
        <v>156</v>
      </c>
      <c r="E36" s="71"/>
      <c r="F36" s="71"/>
      <c r="G36" s="71"/>
      <c r="H36" s="71"/>
      <c r="I36" s="71"/>
    </row>
    <row r="37" spans="1:9" x14ac:dyDescent="0.25">
      <c r="A37" s="23" t="s">
        <v>157</v>
      </c>
      <c r="E37" s="71"/>
      <c r="F37" s="71"/>
      <c r="G37" s="71"/>
      <c r="H37" s="71"/>
      <c r="I37" s="71"/>
    </row>
    <row r="38" spans="1:9" x14ac:dyDescent="0.25">
      <c r="A38" t="s">
        <v>131</v>
      </c>
      <c r="E38" s="71">
        <v>1600</v>
      </c>
      <c r="F38" s="71">
        <v>1600</v>
      </c>
      <c r="G38" s="71">
        <v>600</v>
      </c>
      <c r="H38" s="71">
        <v>600</v>
      </c>
      <c r="I38" s="71">
        <v>600</v>
      </c>
    </row>
    <row r="39" spans="1:9" x14ac:dyDescent="0.25">
      <c r="A39" t="s">
        <v>158</v>
      </c>
      <c r="E39" s="74">
        <v>-93</v>
      </c>
      <c r="F39" s="74">
        <v>-500</v>
      </c>
      <c r="G39" s="74">
        <v>-854</v>
      </c>
      <c r="H39" s="74">
        <v>-190</v>
      </c>
      <c r="I39" s="74">
        <v>61</v>
      </c>
    </row>
    <row r="40" spans="1:9" x14ac:dyDescent="0.25">
      <c r="A40" s="23" t="s">
        <v>132</v>
      </c>
      <c r="B40" s="23"/>
      <c r="C40" s="23"/>
      <c r="D40" s="23"/>
      <c r="E40" s="72">
        <f>SUM(E38:E39)</f>
        <v>1507</v>
      </c>
      <c r="F40" s="72">
        <f>SUM(F38:F39)</f>
        <v>1100</v>
      </c>
      <c r="G40" s="72">
        <f>SUM(G38:G39)</f>
        <v>-254</v>
      </c>
      <c r="H40" s="72">
        <f>SUM(H38:H39)</f>
        <v>410</v>
      </c>
      <c r="I40" s="72">
        <f>SUM(I38:I39)</f>
        <v>661</v>
      </c>
    </row>
    <row r="41" spans="1:9" x14ac:dyDescent="0.25">
      <c r="A41" s="23"/>
      <c r="B41" s="23"/>
      <c r="C41" s="23"/>
      <c r="D41" s="23"/>
      <c r="E41" s="72"/>
      <c r="F41" s="72"/>
      <c r="G41" s="72"/>
      <c r="H41" s="72"/>
      <c r="I41" s="72"/>
    </row>
    <row r="42" spans="1:9" x14ac:dyDescent="0.25">
      <c r="A42" s="23" t="s">
        <v>159</v>
      </c>
      <c r="E42" s="71"/>
      <c r="F42" s="71"/>
      <c r="G42" s="71"/>
      <c r="H42" s="71"/>
      <c r="I42" s="71"/>
    </row>
    <row r="43" spans="1:9" x14ac:dyDescent="0.25">
      <c r="A43" t="s">
        <v>138</v>
      </c>
      <c r="E43" s="74">
        <v>3405</v>
      </c>
      <c r="F43" s="74">
        <v>3654</v>
      </c>
      <c r="G43" s="74">
        <v>5094</v>
      </c>
      <c r="H43" s="74">
        <v>4738</v>
      </c>
      <c r="I43" s="74">
        <v>2988</v>
      </c>
    </row>
    <row r="44" spans="1:9" x14ac:dyDescent="0.25">
      <c r="A44" s="23" t="s">
        <v>133</v>
      </c>
      <c r="B44" s="23"/>
      <c r="C44" s="23"/>
      <c r="D44" s="23"/>
      <c r="E44" s="72">
        <f>SUM(E43)</f>
        <v>3405</v>
      </c>
      <c r="F44" s="72">
        <f t="shared" ref="F44:I44" si="9">SUM(F43)</f>
        <v>3654</v>
      </c>
      <c r="G44" s="72">
        <f t="shared" si="9"/>
        <v>5094</v>
      </c>
      <c r="H44" s="72">
        <f t="shared" si="9"/>
        <v>4738</v>
      </c>
      <c r="I44" s="72">
        <f t="shared" si="9"/>
        <v>2988</v>
      </c>
    </row>
    <row r="45" spans="1:9" x14ac:dyDescent="0.25">
      <c r="E45" s="71"/>
      <c r="F45" s="71"/>
      <c r="G45" s="71"/>
      <c r="H45" s="71"/>
      <c r="I45" s="71"/>
    </row>
    <row r="46" spans="1:9" x14ac:dyDescent="0.25">
      <c r="A46" t="s">
        <v>134</v>
      </c>
      <c r="E46" s="71">
        <v>374</v>
      </c>
      <c r="F46" s="71">
        <v>519</v>
      </c>
      <c r="G46" s="71">
        <v>298</v>
      </c>
      <c r="H46" s="71">
        <v>343</v>
      </c>
      <c r="I46" s="71">
        <v>268</v>
      </c>
    </row>
    <row r="47" spans="1:9" x14ac:dyDescent="0.25">
      <c r="A47" t="s">
        <v>160</v>
      </c>
      <c r="E47" s="71">
        <v>355</v>
      </c>
      <c r="F47" s="71">
        <v>372</v>
      </c>
      <c r="G47" s="71">
        <v>322</v>
      </c>
      <c r="H47" s="71">
        <v>347</v>
      </c>
      <c r="I47" s="71">
        <v>482</v>
      </c>
    </row>
    <row r="48" spans="1:9" x14ac:dyDescent="0.25">
      <c r="A48" t="s">
        <v>161</v>
      </c>
      <c r="E48" s="74">
        <v>132</v>
      </c>
      <c r="F48" s="74">
        <v>168</v>
      </c>
      <c r="G48" s="74">
        <v>209</v>
      </c>
      <c r="H48" s="74">
        <v>181</v>
      </c>
      <c r="I48" s="74">
        <v>245</v>
      </c>
    </row>
    <row r="49" spans="1:16" x14ac:dyDescent="0.25">
      <c r="A49" s="23" t="s">
        <v>135</v>
      </c>
      <c r="B49" s="23"/>
      <c r="C49" s="23"/>
      <c r="D49" s="23"/>
      <c r="E49" s="72">
        <f>SUM(E46:E48)</f>
        <v>861</v>
      </c>
      <c r="F49" s="72">
        <f t="shared" ref="F49:I49" si="10">SUM(F46:F48)</f>
        <v>1059</v>
      </c>
      <c r="G49" s="72">
        <f t="shared" si="10"/>
        <v>829</v>
      </c>
      <c r="H49" s="72">
        <f t="shared" si="10"/>
        <v>871</v>
      </c>
      <c r="I49" s="72">
        <f t="shared" si="10"/>
        <v>995</v>
      </c>
    </row>
    <row r="50" spans="1:16" x14ac:dyDescent="0.25">
      <c r="A50" s="23" t="s">
        <v>136</v>
      </c>
      <c r="B50" s="23"/>
      <c r="C50" s="23"/>
      <c r="D50" s="23"/>
      <c r="E50" s="72">
        <f>E44+E49</f>
        <v>4266</v>
      </c>
      <c r="F50" s="72">
        <f t="shared" ref="F50:I50" si="11">F44+F49</f>
        <v>4713</v>
      </c>
      <c r="G50" s="72">
        <f t="shared" si="11"/>
        <v>5923</v>
      </c>
      <c r="H50" s="72">
        <f t="shared" si="11"/>
        <v>5609</v>
      </c>
      <c r="I50" s="72">
        <f t="shared" si="11"/>
        <v>3983</v>
      </c>
    </row>
    <row r="51" spans="1:16" x14ac:dyDescent="0.25">
      <c r="A51" s="23" t="s">
        <v>137</v>
      </c>
      <c r="B51" s="23"/>
      <c r="C51" s="23"/>
      <c r="D51" s="23"/>
      <c r="E51" s="72">
        <f>E40+E50</f>
        <v>5773</v>
      </c>
      <c r="F51" s="72">
        <f t="shared" ref="F51:I51" si="12">F40+F50</f>
        <v>5813</v>
      </c>
      <c r="G51" s="72">
        <f t="shared" si="12"/>
        <v>5669</v>
      </c>
      <c r="H51" s="72">
        <f t="shared" si="12"/>
        <v>6019</v>
      </c>
      <c r="I51" s="72">
        <f t="shared" si="12"/>
        <v>4644</v>
      </c>
    </row>
    <row r="52" spans="1:16" x14ac:dyDescent="0.25">
      <c r="A52" s="23"/>
      <c r="B52" s="23"/>
      <c r="C52" s="23"/>
      <c r="D52" s="23"/>
      <c r="E52" s="72"/>
      <c r="F52" s="72"/>
      <c r="G52" s="72"/>
      <c r="H52" s="72"/>
      <c r="I52" s="72"/>
    </row>
    <row r="53" spans="1:16" x14ac:dyDescent="0.25">
      <c r="A53" s="23" t="s">
        <v>29</v>
      </c>
    </row>
    <row r="54" spans="1:16" x14ac:dyDescent="0.25">
      <c r="A54" s="23" t="s">
        <v>162</v>
      </c>
    </row>
    <row r="55" spans="1:16" x14ac:dyDescent="0.25">
      <c r="A55" s="23" t="s">
        <v>163</v>
      </c>
      <c r="E55" s="31">
        <f>(E15+E13)/((E34+F34)/2)</f>
        <v>7.2673916796133262E-2</v>
      </c>
      <c r="F55" s="31">
        <v>6.8454973001219305E-2</v>
      </c>
      <c r="G55" s="31">
        <v>-9.3913620807666007E-2</v>
      </c>
      <c r="H55" s="31">
        <v>-4.4640345118634531E-2</v>
      </c>
      <c r="I55" s="31">
        <v>6.8599999999999994E-2</v>
      </c>
    </row>
    <row r="56" spans="1:16" x14ac:dyDescent="0.25">
      <c r="A56" s="23" t="s">
        <v>140</v>
      </c>
      <c r="E56" s="31">
        <f>(E15+E13)/E3</f>
        <v>8.269495187585936E-2</v>
      </c>
      <c r="F56" s="31">
        <v>7.5898030127462338E-2</v>
      </c>
      <c r="G56" s="31">
        <v>-0.12412389780691838</v>
      </c>
      <c r="H56" s="31">
        <v>-4.5593869731800768E-2</v>
      </c>
      <c r="I56" s="31">
        <v>4.233197177868548E-2</v>
      </c>
    </row>
    <row r="57" spans="1:16" x14ac:dyDescent="0.25">
      <c r="A57" s="23" t="s">
        <v>141</v>
      </c>
      <c r="E57" s="73">
        <f>E3/((E34+F34)/2)</f>
        <v>0.87881926462972548</v>
      </c>
      <c r="F57" s="73">
        <f t="shared" ref="F57:H57" si="13">F3/((F34+G34)/2)</f>
        <v>0.90193346106950012</v>
      </c>
      <c r="G57" s="73">
        <f t="shared" si="13"/>
        <v>0.75684462696783028</v>
      </c>
      <c r="H57" s="73">
        <f t="shared" si="13"/>
        <v>0.97908656100534563</v>
      </c>
      <c r="I57" s="73">
        <v>1.62</v>
      </c>
      <c r="K57" s="31"/>
      <c r="L57" s="31"/>
      <c r="M57" s="31"/>
      <c r="N57" s="31"/>
      <c r="O57" s="31"/>
      <c r="P57" s="31"/>
    </row>
    <row r="58" spans="1:16" x14ac:dyDescent="0.25">
      <c r="A58" s="23" t="s">
        <v>139</v>
      </c>
      <c r="E58" s="73">
        <f>E33/E49</f>
        <v>6.6295005807200926</v>
      </c>
      <c r="F58" s="73">
        <v>5.3654390934844196</v>
      </c>
      <c r="G58" s="73">
        <v>6.6007237635705671</v>
      </c>
      <c r="H58" s="73">
        <v>6.4925373134328357</v>
      </c>
      <c r="I58" s="73">
        <v>4.2351758793969854</v>
      </c>
    </row>
    <row r="59" spans="1:16" x14ac:dyDescent="0.25">
      <c r="A59" s="23" t="s">
        <v>142</v>
      </c>
      <c r="E59" s="31">
        <f>E40/E51</f>
        <v>0.26104278538021825</v>
      </c>
      <c r="F59" s="31">
        <v>0.18923103388955789</v>
      </c>
      <c r="G59" s="31">
        <v>-4.4805080261068969E-2</v>
      </c>
      <c r="H59" s="31">
        <v>6.8117627512875895E-2</v>
      </c>
      <c r="I59" s="31">
        <v>0.14233419465977606</v>
      </c>
    </row>
    <row r="60" spans="1:16" x14ac:dyDescent="0.25">
      <c r="K60" s="31"/>
      <c r="O60" s="73"/>
    </row>
    <row r="61" spans="1:16" x14ac:dyDescent="0.25">
      <c r="A61" s="23" t="s">
        <v>40</v>
      </c>
    </row>
    <row r="62" spans="1:16" x14ac:dyDescent="0.25">
      <c r="A62" t="s">
        <v>165</v>
      </c>
    </row>
    <row r="63" spans="1:16" x14ac:dyDescent="0.25">
      <c r="A63" t="s">
        <v>166</v>
      </c>
      <c r="C63" s="31">
        <f>E56*E57</f>
        <v>7.2673916796133262E-2</v>
      </c>
    </row>
    <row r="65" spans="1:1" x14ac:dyDescent="0.25">
      <c r="A65" s="23" t="s">
        <v>30</v>
      </c>
    </row>
    <row r="66" spans="1:1" ht="15.75" x14ac:dyDescent="0.25">
      <c r="A66" s="78" t="s">
        <v>167</v>
      </c>
    </row>
    <row r="67" spans="1:1" ht="15.75" x14ac:dyDescent="0.25">
      <c r="A67" s="78" t="s">
        <v>168</v>
      </c>
    </row>
    <row r="68" spans="1:1" ht="15.75" x14ac:dyDescent="0.25">
      <c r="A68" s="78" t="s">
        <v>176</v>
      </c>
    </row>
    <row r="69" spans="1:1" ht="15.75" x14ac:dyDescent="0.25">
      <c r="A69" s="78" t="s">
        <v>177</v>
      </c>
    </row>
    <row r="70" spans="1:1" ht="15.75" x14ac:dyDescent="0.25">
      <c r="A70" s="78" t="s">
        <v>178</v>
      </c>
    </row>
    <row r="71" spans="1:1" ht="15.75" x14ac:dyDescent="0.25">
      <c r="A71" s="78"/>
    </row>
    <row r="72" spans="1:1" ht="15.75" x14ac:dyDescent="0.25">
      <c r="A72" s="78"/>
    </row>
    <row r="73" spans="1:1" ht="15.75" x14ac:dyDescent="0.25">
      <c r="A73" s="78"/>
    </row>
    <row r="74" spans="1:1" ht="15.75" x14ac:dyDescent="0.25">
      <c r="A74" s="78"/>
    </row>
    <row r="75" spans="1:1" ht="15.75" x14ac:dyDescent="0.25">
      <c r="A75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1F40F-098D-4D0B-AF72-BC6D199F63C6}">
  <dimension ref="A1:K21"/>
  <sheetViews>
    <sheetView workbookViewId="0">
      <selection activeCell="G19" sqref="G19"/>
    </sheetView>
  </sheetViews>
  <sheetFormatPr baseColWidth="10" defaultRowHeight="15" x14ac:dyDescent="0.25"/>
  <cols>
    <col min="1" max="1" width="34.28515625" bestFit="1" customWidth="1"/>
    <col min="6" max="6" width="30.28515625" bestFit="1" customWidth="1"/>
  </cols>
  <sheetData>
    <row r="1" spans="1:11" x14ac:dyDescent="0.25">
      <c r="A1" s="1"/>
      <c r="B1" s="2" t="s">
        <v>0</v>
      </c>
      <c r="C1" s="2" t="s">
        <v>1</v>
      </c>
      <c r="D1" s="2" t="s">
        <v>2</v>
      </c>
      <c r="F1" s="13" t="s">
        <v>29</v>
      </c>
      <c r="G1" s="12"/>
      <c r="I1" s="18" t="s">
        <v>30</v>
      </c>
      <c r="J1" s="12"/>
      <c r="K1" s="12"/>
    </row>
    <row r="2" spans="1:11" x14ac:dyDescent="0.25">
      <c r="A2" s="1"/>
      <c r="B2" s="2"/>
      <c r="C2" s="2"/>
      <c r="D2" s="2" t="s">
        <v>3</v>
      </c>
      <c r="F2" s="10" t="s">
        <v>14</v>
      </c>
      <c r="G2" s="14"/>
      <c r="I2" s="12" t="s">
        <v>26</v>
      </c>
      <c r="J2" s="12"/>
      <c r="K2" s="14">
        <v>50000</v>
      </c>
    </row>
    <row r="3" spans="1:11" x14ac:dyDescent="0.25">
      <c r="A3" s="1" t="s">
        <v>32</v>
      </c>
      <c r="B3" s="3">
        <v>600000</v>
      </c>
      <c r="C3" s="3">
        <v>180000</v>
      </c>
      <c r="D3" s="3">
        <v>160000</v>
      </c>
      <c r="F3" s="15" t="s">
        <v>15</v>
      </c>
      <c r="G3" s="14">
        <v>250000</v>
      </c>
      <c r="I3" s="12" t="s">
        <v>7</v>
      </c>
      <c r="J3" s="12"/>
      <c r="K3" s="16">
        <f>G7</f>
        <v>80000</v>
      </c>
    </row>
    <row r="4" spans="1:11" x14ac:dyDescent="0.25">
      <c r="A4" s="1" t="s">
        <v>13</v>
      </c>
      <c r="B4" s="4">
        <v>250000</v>
      </c>
      <c r="C4" s="4">
        <v>60000</v>
      </c>
      <c r="D4" s="4">
        <v>75000</v>
      </c>
      <c r="F4" s="15" t="s">
        <v>4</v>
      </c>
      <c r="G4" s="16">
        <v>145000</v>
      </c>
      <c r="I4" s="18" t="s">
        <v>28</v>
      </c>
      <c r="J4" s="18"/>
      <c r="K4" s="11">
        <f>K2-K3</f>
        <v>-30000</v>
      </c>
    </row>
    <row r="5" spans="1:11" x14ac:dyDescent="0.25">
      <c r="A5" s="5" t="s">
        <v>8</v>
      </c>
      <c r="B5" s="6">
        <f>B3-B4</f>
        <v>350000</v>
      </c>
      <c r="C5" s="6">
        <f>C3-C4</f>
        <v>120000</v>
      </c>
      <c r="D5" s="6">
        <f>D3-D4</f>
        <v>85000</v>
      </c>
      <c r="F5" s="10" t="s">
        <v>16</v>
      </c>
      <c r="G5" s="17">
        <f>G3-G4</f>
        <v>105000</v>
      </c>
    </row>
    <row r="6" spans="1:11" x14ac:dyDescent="0.25">
      <c r="A6" s="1" t="s">
        <v>5</v>
      </c>
      <c r="B6" s="4">
        <v>250000</v>
      </c>
      <c r="C6" s="4"/>
      <c r="D6" s="4">
        <v>40000</v>
      </c>
      <c r="F6" s="15" t="s">
        <v>17</v>
      </c>
      <c r="G6" s="14">
        <f>G3*B12*8/12</f>
        <v>25000</v>
      </c>
    </row>
    <row r="7" spans="1:11" x14ac:dyDescent="0.25">
      <c r="A7" s="5" t="s">
        <v>11</v>
      </c>
      <c r="B7" s="6">
        <f>SUM(B5:B6)</f>
        <v>600000</v>
      </c>
      <c r="C7" s="6">
        <f>SUM(C5:C6)</f>
        <v>120000</v>
      </c>
      <c r="D7" s="6">
        <f>SUM(D5:D6)</f>
        <v>125000</v>
      </c>
      <c r="F7" s="15" t="s">
        <v>18</v>
      </c>
      <c r="G7" s="11">
        <f>G5-G6</f>
        <v>80000</v>
      </c>
    </row>
    <row r="8" spans="1:11" x14ac:dyDescent="0.25">
      <c r="A8" s="1" t="s">
        <v>9</v>
      </c>
      <c r="B8" s="3">
        <f>G13</f>
        <v>83750</v>
      </c>
      <c r="C8" s="3">
        <f>G16</f>
        <v>18000</v>
      </c>
      <c r="D8" s="3">
        <f>G21</f>
        <v>42500</v>
      </c>
      <c r="F8" s="15"/>
      <c r="G8" s="14"/>
    </row>
    <row r="9" spans="1:11" x14ac:dyDescent="0.25">
      <c r="A9" s="1" t="s">
        <v>7</v>
      </c>
      <c r="B9" s="3">
        <f>G7</f>
        <v>80000</v>
      </c>
      <c r="C9" s="9"/>
      <c r="D9" s="9"/>
      <c r="F9" s="10" t="s">
        <v>6</v>
      </c>
      <c r="G9" s="14"/>
    </row>
    <row r="10" spans="1:11" x14ac:dyDescent="0.25">
      <c r="A10" s="10" t="s">
        <v>31</v>
      </c>
      <c r="B10" s="11">
        <f>B7-B8-B9</f>
        <v>436250</v>
      </c>
      <c r="C10" s="11">
        <f t="shared" ref="C10:D10" si="0">C7-C8-C9</f>
        <v>102000</v>
      </c>
      <c r="D10" s="11">
        <f t="shared" si="0"/>
        <v>82500</v>
      </c>
      <c r="F10" s="15" t="s">
        <v>19</v>
      </c>
      <c r="G10" s="14">
        <f>G6</f>
        <v>25000</v>
      </c>
    </row>
    <row r="11" spans="1:11" x14ac:dyDescent="0.25">
      <c r="A11" s="12"/>
      <c r="B11" s="12"/>
      <c r="C11" s="12"/>
      <c r="D11" s="12"/>
      <c r="F11" s="15" t="s">
        <v>27</v>
      </c>
      <c r="G11" s="14">
        <f>B6*B12*2/12</f>
        <v>6250</v>
      </c>
    </row>
    <row r="12" spans="1:11" x14ac:dyDescent="0.25">
      <c r="A12" t="s">
        <v>12</v>
      </c>
      <c r="B12" s="8">
        <v>0.15</v>
      </c>
      <c r="C12" s="8">
        <v>0.1</v>
      </c>
      <c r="D12" s="8">
        <v>0.25</v>
      </c>
      <c r="F12" s="15" t="s">
        <v>20</v>
      </c>
      <c r="G12" s="14">
        <f>(B3-G3)*B12</f>
        <v>52500</v>
      </c>
    </row>
    <row r="13" spans="1:11" x14ac:dyDescent="0.25">
      <c r="F13" s="15"/>
      <c r="G13" s="11">
        <f>SUM(G10:G12)</f>
        <v>83750</v>
      </c>
    </row>
    <row r="14" spans="1:11" x14ac:dyDescent="0.25">
      <c r="F14" s="15"/>
      <c r="G14" s="14"/>
    </row>
    <row r="15" spans="1:11" x14ac:dyDescent="0.25">
      <c r="F15" s="10" t="s">
        <v>21</v>
      </c>
      <c r="G15" s="14"/>
    </row>
    <row r="16" spans="1:11" x14ac:dyDescent="0.25">
      <c r="F16" s="15" t="s">
        <v>22</v>
      </c>
      <c r="G16" s="14">
        <f>C3*C12</f>
        <v>18000</v>
      </c>
    </row>
    <row r="17" spans="6:7" x14ac:dyDescent="0.25">
      <c r="F17" s="15"/>
      <c r="G17" s="14"/>
    </row>
    <row r="18" spans="6:7" x14ac:dyDescent="0.25">
      <c r="F18" s="10" t="s">
        <v>23</v>
      </c>
      <c r="G18" s="14"/>
    </row>
    <row r="19" spans="6:7" x14ac:dyDescent="0.25">
      <c r="F19" s="15" t="s">
        <v>24</v>
      </c>
      <c r="G19" s="14">
        <f>D6*D12*3/12</f>
        <v>2500</v>
      </c>
    </row>
    <row r="20" spans="6:7" x14ac:dyDescent="0.25">
      <c r="F20" s="15" t="s">
        <v>25</v>
      </c>
      <c r="G20" s="14">
        <f>D3*D12</f>
        <v>40000</v>
      </c>
    </row>
    <row r="21" spans="6:7" x14ac:dyDescent="0.25">
      <c r="F21" s="15"/>
      <c r="G21" s="11">
        <f>SUM(G19:G20)</f>
        <v>42500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F3C6-DAE6-49C0-BED6-CF2AD92863AC}">
  <dimension ref="A1:D9"/>
  <sheetViews>
    <sheetView workbookViewId="0">
      <selection activeCell="I6" sqref="I6"/>
    </sheetView>
  </sheetViews>
  <sheetFormatPr baseColWidth="10" defaultRowHeight="15" x14ac:dyDescent="0.25"/>
  <cols>
    <col min="3" max="3" width="12" bestFit="1" customWidth="1"/>
    <col min="4" max="4" width="12.7109375" bestFit="1" customWidth="1"/>
  </cols>
  <sheetData>
    <row r="1" spans="1:4" x14ac:dyDescent="0.25">
      <c r="A1" s="22" t="s">
        <v>33</v>
      </c>
      <c r="B1" s="22" t="s">
        <v>34</v>
      </c>
      <c r="C1" s="22" t="s">
        <v>51</v>
      </c>
      <c r="D1" s="22" t="s">
        <v>35</v>
      </c>
    </row>
    <row r="2" spans="1:4" x14ac:dyDescent="0.25">
      <c r="A2" s="19">
        <v>44718</v>
      </c>
      <c r="B2" s="20">
        <v>500</v>
      </c>
      <c r="C2" s="20">
        <f>D2/B2</f>
        <v>120</v>
      </c>
      <c r="D2" s="20">
        <v>60000</v>
      </c>
    </row>
    <row r="3" spans="1:4" x14ac:dyDescent="0.25">
      <c r="A3" s="19">
        <v>44844</v>
      </c>
      <c r="B3" s="21">
        <v>1500</v>
      </c>
      <c r="C3" s="20">
        <f>D3/B3</f>
        <v>140</v>
      </c>
      <c r="D3" s="21">
        <v>210000</v>
      </c>
    </row>
    <row r="4" spans="1:4" x14ac:dyDescent="0.25">
      <c r="A4" s="27" t="s">
        <v>45</v>
      </c>
      <c r="B4" s="25">
        <f>SUM(B2:B3)</f>
        <v>2000</v>
      </c>
      <c r="C4" s="25"/>
      <c r="D4" s="25">
        <f>SUM(D2:D3)</f>
        <v>270000</v>
      </c>
    </row>
    <row r="6" spans="1:4" x14ac:dyDescent="0.25">
      <c r="A6" t="s">
        <v>41</v>
      </c>
      <c r="D6" s="20">
        <v>1000</v>
      </c>
    </row>
    <row r="7" spans="1:4" x14ac:dyDescent="0.25">
      <c r="A7" t="s">
        <v>42</v>
      </c>
      <c r="D7" s="20">
        <v>150</v>
      </c>
    </row>
    <row r="8" spans="1:4" x14ac:dyDescent="0.25">
      <c r="A8" t="s">
        <v>43</v>
      </c>
      <c r="D8" s="20">
        <v>200</v>
      </c>
    </row>
    <row r="9" spans="1:4" x14ac:dyDescent="0.25">
      <c r="A9" t="s">
        <v>44</v>
      </c>
      <c r="D9" s="20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8577-2DFF-4BEF-83D8-930C372F9944}">
  <dimension ref="A1:E15"/>
  <sheetViews>
    <sheetView tabSelected="1" workbookViewId="0">
      <selection activeCell="D22" sqref="D22"/>
    </sheetView>
  </sheetViews>
  <sheetFormatPr baseColWidth="10" defaultRowHeight="15" x14ac:dyDescent="0.25"/>
  <sheetData>
    <row r="1" spans="1:5" x14ac:dyDescent="0.25">
      <c r="A1" s="23" t="s">
        <v>29</v>
      </c>
    </row>
    <row r="2" spans="1:5" x14ac:dyDescent="0.25">
      <c r="A2" t="s">
        <v>36</v>
      </c>
      <c r="D2">
        <f>'Oppgave 2'!D4/'Oppgave 2'!B4</f>
        <v>135</v>
      </c>
      <c r="E2" t="s">
        <v>47</v>
      </c>
    </row>
    <row r="4" spans="1:5" x14ac:dyDescent="0.25">
      <c r="A4" t="s">
        <v>37</v>
      </c>
      <c r="D4" s="20">
        <f>'Oppgave 2'!D6*'Løsningsforslag oppgave 2'!D2</f>
        <v>135000</v>
      </c>
      <c r="E4" t="s">
        <v>48</v>
      </c>
    </row>
    <row r="5" spans="1:5" x14ac:dyDescent="0.25">
      <c r="A5" t="s">
        <v>38</v>
      </c>
      <c r="D5" s="21">
        <f>'Oppgave 2'!D6*'Oppgave 2'!D7-'Oppgave 2'!D8</f>
        <v>149800</v>
      </c>
      <c r="E5" t="s">
        <v>49</v>
      </c>
    </row>
    <row r="6" spans="1:5" ht="15.75" x14ac:dyDescent="0.25">
      <c r="A6" s="24" t="s">
        <v>39</v>
      </c>
      <c r="B6" s="23"/>
      <c r="C6" s="23"/>
      <c r="D6" s="25">
        <f>D5-D4</f>
        <v>14800</v>
      </c>
    </row>
    <row r="8" spans="1:5" x14ac:dyDescent="0.25">
      <c r="A8" s="23" t="s">
        <v>40</v>
      </c>
    </row>
    <row r="9" spans="1:5" x14ac:dyDescent="0.25">
      <c r="A9" s="23" t="s">
        <v>46</v>
      </c>
      <c r="B9" s="23"/>
      <c r="C9" s="23"/>
      <c r="D9" s="26">
        <f>('Oppgave 2'!B4-'Oppgave 2'!D6)*'Oppgave 2'!D9</f>
        <v>140000</v>
      </c>
      <c r="E9" t="s">
        <v>50</v>
      </c>
    </row>
    <row r="11" spans="1:5" x14ac:dyDescent="0.25">
      <c r="A11" s="23" t="s">
        <v>30</v>
      </c>
    </row>
    <row r="12" spans="1:5" x14ac:dyDescent="0.25">
      <c r="A12" s="23" t="s">
        <v>46</v>
      </c>
      <c r="D12" s="26">
        <f>('Oppgave 2'!B3-500)*'Oppgave 2'!C3</f>
        <v>140000</v>
      </c>
      <c r="E12" t="s">
        <v>52</v>
      </c>
    </row>
    <row r="14" spans="1:5" x14ac:dyDescent="0.25">
      <c r="A14" s="23" t="s">
        <v>53</v>
      </c>
    </row>
    <row r="15" spans="1:5" x14ac:dyDescent="0.25">
      <c r="A15" s="23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CEEB-FC8A-4967-AE1B-A9925A0B47B1}">
  <dimension ref="A1:O4"/>
  <sheetViews>
    <sheetView workbookViewId="0">
      <selection activeCell="K2" sqref="K2"/>
    </sheetView>
  </sheetViews>
  <sheetFormatPr baseColWidth="10" defaultRowHeight="15" x14ac:dyDescent="0.25"/>
  <cols>
    <col min="1" max="1" width="21.85546875" bestFit="1" customWidth="1"/>
    <col min="4" max="4" width="12.7109375" bestFit="1" customWidth="1"/>
    <col min="7" max="7" width="38.28515625" bestFit="1" customWidth="1"/>
  </cols>
  <sheetData>
    <row r="1" spans="1:15" x14ac:dyDescent="0.25">
      <c r="A1" s="1" t="s">
        <v>64</v>
      </c>
      <c r="D1" s="20">
        <v>1800000</v>
      </c>
      <c r="F1" s="23" t="s">
        <v>68</v>
      </c>
      <c r="G1" s="23" t="s">
        <v>69</v>
      </c>
      <c r="H1" s="81" t="s">
        <v>74</v>
      </c>
      <c r="I1" s="81"/>
      <c r="J1" s="81" t="s">
        <v>77</v>
      </c>
      <c r="K1" s="81"/>
      <c r="L1" s="81" t="s">
        <v>70</v>
      </c>
      <c r="M1" s="81"/>
      <c r="N1" s="81" t="s">
        <v>71</v>
      </c>
      <c r="O1" s="81"/>
    </row>
    <row r="2" spans="1:15" x14ac:dyDescent="0.25">
      <c r="A2" s="1" t="s">
        <v>65</v>
      </c>
      <c r="D2" s="20">
        <v>40000</v>
      </c>
      <c r="F2" s="23"/>
      <c r="G2" s="23"/>
      <c r="H2" s="22" t="s">
        <v>75</v>
      </c>
      <c r="I2" s="22" t="s">
        <v>76</v>
      </c>
      <c r="J2" s="22" t="s">
        <v>75</v>
      </c>
      <c r="K2" s="22" t="s">
        <v>76</v>
      </c>
      <c r="L2" s="22" t="s">
        <v>75</v>
      </c>
      <c r="M2" s="22" t="s">
        <v>76</v>
      </c>
      <c r="N2" s="22" t="s">
        <v>75</v>
      </c>
      <c r="O2" s="22" t="s">
        <v>76</v>
      </c>
    </row>
    <row r="3" spans="1:15" x14ac:dyDescent="0.25">
      <c r="A3" s="1" t="s">
        <v>66</v>
      </c>
      <c r="D3" s="20">
        <v>15000</v>
      </c>
      <c r="F3">
        <v>1460</v>
      </c>
      <c r="G3" s="32" t="s">
        <v>73</v>
      </c>
      <c r="H3" s="34"/>
      <c r="I3" s="34"/>
      <c r="J3" s="34"/>
      <c r="K3" s="34"/>
      <c r="L3" s="34"/>
      <c r="M3" s="34"/>
      <c r="N3" s="34"/>
      <c r="O3" s="34"/>
    </row>
    <row r="4" spans="1:15" x14ac:dyDescent="0.25">
      <c r="A4" s="1" t="s">
        <v>67</v>
      </c>
      <c r="D4" s="31">
        <v>0.2</v>
      </c>
      <c r="F4">
        <v>4300</v>
      </c>
      <c r="G4" s="33" t="s">
        <v>72</v>
      </c>
      <c r="H4" s="35"/>
      <c r="I4" s="34"/>
      <c r="J4" s="34"/>
      <c r="K4" s="34"/>
      <c r="L4" s="34"/>
      <c r="M4" s="34"/>
      <c r="N4" s="34"/>
      <c r="O4" s="34"/>
    </row>
  </sheetData>
  <mergeCells count="4">
    <mergeCell ref="H1:I1"/>
    <mergeCell ref="L1:M1"/>
    <mergeCell ref="N1:O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E5A6-4E88-40CE-B2C1-EB2183707AFF}">
  <dimension ref="A1:O9"/>
  <sheetViews>
    <sheetView workbookViewId="0">
      <selection activeCell="N11" sqref="N11"/>
    </sheetView>
  </sheetViews>
  <sheetFormatPr baseColWidth="10" defaultRowHeight="15" x14ac:dyDescent="0.25"/>
  <cols>
    <col min="1" max="1" width="22.85546875" bestFit="1" customWidth="1"/>
    <col min="6" max="6" width="13.28515625" bestFit="1" customWidth="1"/>
    <col min="7" max="7" width="38.28515625" bestFit="1" customWidth="1"/>
    <col min="8" max="8" width="15.28515625" customWidth="1"/>
    <col min="9" max="9" width="14.85546875" bestFit="1" customWidth="1"/>
    <col min="10" max="11" width="14.85546875" customWidth="1"/>
    <col min="12" max="12" width="9.85546875" bestFit="1" customWidth="1"/>
  </cols>
  <sheetData>
    <row r="1" spans="1:15" x14ac:dyDescent="0.25">
      <c r="A1" s="5" t="s">
        <v>55</v>
      </c>
      <c r="B1" s="3"/>
      <c r="C1" s="3"/>
      <c r="D1" s="3"/>
      <c r="F1" s="23" t="s">
        <v>68</v>
      </c>
      <c r="G1" s="23" t="s">
        <v>69</v>
      </c>
      <c r="H1" s="81" t="s">
        <v>74</v>
      </c>
      <c r="I1" s="81"/>
      <c r="J1" s="81" t="s">
        <v>77</v>
      </c>
      <c r="K1" s="81"/>
      <c r="L1" s="81" t="s">
        <v>70</v>
      </c>
      <c r="M1" s="81"/>
      <c r="N1" s="81" t="s">
        <v>71</v>
      </c>
      <c r="O1" s="81"/>
    </row>
    <row r="2" spans="1:15" x14ac:dyDescent="0.25">
      <c r="A2" s="1"/>
      <c r="B2" s="28" t="s">
        <v>56</v>
      </c>
      <c r="C2" s="28" t="s">
        <v>57</v>
      </c>
      <c r="D2" s="29"/>
      <c r="F2" s="23"/>
      <c r="G2" s="23"/>
      <c r="H2" s="22" t="s">
        <v>75</v>
      </c>
      <c r="I2" s="22" t="s">
        <v>76</v>
      </c>
      <c r="J2" s="22" t="s">
        <v>75</v>
      </c>
      <c r="K2" s="22" t="s">
        <v>76</v>
      </c>
      <c r="L2" s="22" t="s">
        <v>75</v>
      </c>
      <c r="M2" s="22" t="s">
        <v>76</v>
      </c>
      <c r="N2" s="22" t="s">
        <v>75</v>
      </c>
      <c r="O2" s="22" t="s">
        <v>76</v>
      </c>
    </row>
    <row r="3" spans="1:15" x14ac:dyDescent="0.25">
      <c r="A3" s="1"/>
      <c r="B3" s="30" t="s">
        <v>58</v>
      </c>
      <c r="C3" s="30" t="s">
        <v>58</v>
      </c>
      <c r="D3" s="30" t="s">
        <v>59</v>
      </c>
      <c r="F3">
        <v>1460</v>
      </c>
      <c r="G3" s="32" t="s">
        <v>73</v>
      </c>
      <c r="H3" s="34">
        <v>1600000</v>
      </c>
      <c r="I3" s="34"/>
      <c r="J3" s="34">
        <f>N3-H3</f>
        <v>172000</v>
      </c>
      <c r="K3" s="34"/>
      <c r="L3" s="34"/>
      <c r="M3" s="34"/>
      <c r="N3" s="34">
        <f>D7</f>
        <v>1772000</v>
      </c>
      <c r="O3" s="34"/>
    </row>
    <row r="4" spans="1:15" x14ac:dyDescent="0.25">
      <c r="A4" s="1" t="s">
        <v>60</v>
      </c>
      <c r="B4" s="3">
        <f>D4-C4</f>
        <v>1760000</v>
      </c>
      <c r="C4" s="3">
        <f>'Oppgave 3'!D2</f>
        <v>40000</v>
      </c>
      <c r="D4" s="3">
        <f>'Oppgave 3'!D1</f>
        <v>1800000</v>
      </c>
      <c r="F4">
        <v>4300</v>
      </c>
      <c r="G4" s="33" t="s">
        <v>72</v>
      </c>
      <c r="H4" s="35">
        <v>16500000</v>
      </c>
      <c r="I4" s="34"/>
      <c r="J4" s="34"/>
      <c r="K4" s="34">
        <f>J3</f>
        <v>172000</v>
      </c>
      <c r="L4" s="34">
        <f>H4-K4</f>
        <v>16328000</v>
      </c>
      <c r="M4" s="34"/>
      <c r="N4" s="34"/>
      <c r="O4" s="34"/>
    </row>
    <row r="5" spans="1:15" x14ac:dyDescent="0.25">
      <c r="A5" s="1" t="s">
        <v>61</v>
      </c>
      <c r="B5" s="3"/>
      <c r="C5" s="3">
        <f>'Oppgave 3'!D3</f>
        <v>15000</v>
      </c>
      <c r="D5" s="3"/>
    </row>
    <row r="6" spans="1:15" x14ac:dyDescent="0.25">
      <c r="A6" s="1" t="s">
        <v>62</v>
      </c>
      <c r="B6" s="4"/>
      <c r="C6" s="4">
        <f>C5*'Oppgave 3'!D4</f>
        <v>3000</v>
      </c>
      <c r="D6" s="4"/>
    </row>
    <row r="7" spans="1:15" x14ac:dyDescent="0.25">
      <c r="A7" s="5" t="s">
        <v>63</v>
      </c>
      <c r="B7" s="7">
        <f>SUM(B4:B6)</f>
        <v>1760000</v>
      </c>
      <c r="C7" s="7">
        <f>C5-C6</f>
        <v>12000</v>
      </c>
      <c r="D7" s="7">
        <f>B7+C7</f>
        <v>1772000</v>
      </c>
    </row>
    <row r="9" spans="1:15" x14ac:dyDescent="0.25">
      <c r="A9" s="1"/>
    </row>
  </sheetData>
  <mergeCells count="4">
    <mergeCell ref="H1:I1"/>
    <mergeCell ref="L1:M1"/>
    <mergeCell ref="N1:O1"/>
    <mergeCell ref="J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FED1F-9CED-4375-A951-E23477D1805C}">
  <dimension ref="A1:K6"/>
  <sheetViews>
    <sheetView workbookViewId="0">
      <selection activeCell="B6" sqref="B6"/>
    </sheetView>
  </sheetViews>
  <sheetFormatPr baseColWidth="10" defaultRowHeight="15" x14ac:dyDescent="0.25"/>
  <sheetData>
    <row r="1" spans="1:11" ht="15.75" x14ac:dyDescent="0.25">
      <c r="A1" s="36"/>
      <c r="B1" s="36"/>
      <c r="C1" s="37"/>
      <c r="D1" s="82" t="s">
        <v>11</v>
      </c>
      <c r="E1" s="83"/>
      <c r="F1" s="82" t="s">
        <v>77</v>
      </c>
      <c r="G1" s="83"/>
      <c r="H1" s="82" t="s">
        <v>78</v>
      </c>
      <c r="I1" s="83"/>
      <c r="J1" s="82" t="s">
        <v>71</v>
      </c>
      <c r="K1" s="83"/>
    </row>
    <row r="2" spans="1:11" ht="15.75" x14ac:dyDescent="0.25">
      <c r="A2" s="68">
        <v>1500</v>
      </c>
      <c r="B2" s="38" t="s">
        <v>113</v>
      </c>
      <c r="C2" s="39"/>
      <c r="D2" s="40">
        <v>1200000</v>
      </c>
      <c r="E2" s="65"/>
      <c r="F2" s="41"/>
      <c r="G2" s="65"/>
      <c r="H2" s="41"/>
      <c r="I2" s="65"/>
      <c r="J2" s="41"/>
      <c r="K2" s="65"/>
    </row>
    <row r="3" spans="1:11" ht="15.75" x14ac:dyDescent="0.25">
      <c r="A3" s="69">
        <v>1580</v>
      </c>
      <c r="B3" s="42" t="s">
        <v>79</v>
      </c>
      <c r="C3" s="43"/>
      <c r="D3" s="44"/>
      <c r="E3" s="66">
        <v>30000</v>
      </c>
      <c r="F3" s="44"/>
      <c r="G3" s="66"/>
      <c r="H3" s="44"/>
      <c r="I3" s="66"/>
      <c r="J3" s="44"/>
      <c r="K3" s="66"/>
    </row>
    <row r="4" spans="1:11" ht="15.75" x14ac:dyDescent="0.25">
      <c r="A4" s="69">
        <v>2710</v>
      </c>
      <c r="B4" s="42" t="s">
        <v>114</v>
      </c>
      <c r="C4" s="43"/>
      <c r="D4" s="44"/>
      <c r="E4" s="66"/>
      <c r="F4" s="44"/>
      <c r="G4" s="66"/>
      <c r="H4" s="44"/>
      <c r="I4" s="66"/>
      <c r="J4" s="44"/>
      <c r="K4" s="66"/>
    </row>
    <row r="5" spans="1:11" ht="15.75" x14ac:dyDescent="0.25">
      <c r="A5" s="69"/>
      <c r="B5" s="42"/>
      <c r="C5" s="43"/>
      <c r="D5" s="44"/>
      <c r="E5" s="66"/>
      <c r="F5" s="44"/>
      <c r="G5" s="66"/>
      <c r="H5" s="44"/>
      <c r="I5" s="66"/>
      <c r="J5" s="44"/>
      <c r="K5" s="66"/>
    </row>
    <row r="6" spans="1:11" ht="15.75" x14ac:dyDescent="0.25">
      <c r="A6" s="70">
        <v>7830</v>
      </c>
      <c r="B6" s="45" t="s">
        <v>81</v>
      </c>
      <c r="C6" s="46"/>
      <c r="D6" s="47">
        <v>40000</v>
      </c>
      <c r="E6" s="67"/>
      <c r="F6" s="47"/>
      <c r="G6" s="67"/>
      <c r="H6" s="47"/>
      <c r="I6" s="67"/>
      <c r="J6" s="47"/>
      <c r="K6" s="67"/>
    </row>
  </sheetData>
  <mergeCells count="4">
    <mergeCell ref="D1:E1"/>
    <mergeCell ref="F1:G1"/>
    <mergeCell ref="H1:I1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7E073-A585-42BE-B443-D426A67C66BA}">
  <dimension ref="A1:M42"/>
  <sheetViews>
    <sheetView topLeftCell="A17" workbookViewId="0">
      <selection activeCell="P41" sqref="P41"/>
    </sheetView>
  </sheetViews>
  <sheetFormatPr baseColWidth="10" defaultRowHeight="15" x14ac:dyDescent="0.25"/>
  <sheetData>
    <row r="1" spans="1:8" x14ac:dyDescent="0.25">
      <c r="A1" s="48" t="s">
        <v>90</v>
      </c>
      <c r="B1" s="49"/>
      <c r="C1" s="50"/>
      <c r="D1" s="50"/>
      <c r="E1" s="50"/>
      <c r="F1" s="50"/>
      <c r="G1" s="50"/>
      <c r="H1" s="49"/>
    </row>
    <row r="2" spans="1:8" x14ac:dyDescent="0.25">
      <c r="A2" s="49" t="s">
        <v>89</v>
      </c>
      <c r="B2" s="49"/>
      <c r="C2" s="50"/>
      <c r="D2" s="50"/>
      <c r="E2" s="50"/>
      <c r="F2" s="50"/>
      <c r="G2" s="50"/>
      <c r="H2" s="50"/>
    </row>
    <row r="3" spans="1:8" x14ac:dyDescent="0.25">
      <c r="A3" s="49" t="s">
        <v>82</v>
      </c>
      <c r="B3" s="49"/>
      <c r="C3" s="50"/>
      <c r="D3" s="50"/>
      <c r="E3" s="50"/>
      <c r="F3" s="50"/>
      <c r="G3" s="50"/>
      <c r="H3" s="50"/>
    </row>
    <row r="4" spans="1:8" x14ac:dyDescent="0.25">
      <c r="A4" s="49" t="s">
        <v>83</v>
      </c>
      <c r="B4" s="49"/>
      <c r="C4" s="50"/>
      <c r="D4" s="50"/>
      <c r="E4" s="50"/>
      <c r="F4" s="50"/>
      <c r="G4" s="50"/>
      <c r="H4" s="50"/>
    </row>
    <row r="5" spans="1:8" x14ac:dyDescent="0.25">
      <c r="A5" s="49" t="s">
        <v>84</v>
      </c>
      <c r="B5" s="49"/>
      <c r="C5" s="50"/>
      <c r="D5" s="50"/>
      <c r="E5" s="50"/>
      <c r="F5" s="50"/>
      <c r="G5" s="50"/>
      <c r="H5" s="50"/>
    </row>
    <row r="6" spans="1:8" x14ac:dyDescent="0.25">
      <c r="A6" s="49" t="s">
        <v>115</v>
      </c>
      <c r="B6" s="49"/>
      <c r="C6" s="50"/>
      <c r="D6" s="50"/>
      <c r="E6" s="50"/>
      <c r="F6" s="50"/>
      <c r="G6" s="50"/>
      <c r="H6" s="50"/>
    </row>
    <row r="7" spans="1:8" x14ac:dyDescent="0.25">
      <c r="A7" s="49"/>
      <c r="B7" s="49"/>
      <c r="C7" s="50"/>
      <c r="D7" s="50"/>
      <c r="E7" s="50"/>
      <c r="F7" s="50"/>
      <c r="G7" s="50"/>
      <c r="H7" s="50"/>
    </row>
    <row r="8" spans="1:8" x14ac:dyDescent="0.25">
      <c r="A8" s="51" t="s">
        <v>85</v>
      </c>
      <c r="B8" s="52"/>
      <c r="C8" s="53"/>
      <c r="D8" s="54">
        <f>D10/1.25</f>
        <v>48000</v>
      </c>
      <c r="E8" s="50" t="s">
        <v>86</v>
      </c>
      <c r="F8" s="62" t="s">
        <v>99</v>
      </c>
      <c r="G8" s="50"/>
      <c r="H8" s="49"/>
    </row>
    <row r="9" spans="1:8" x14ac:dyDescent="0.25">
      <c r="A9" s="36" t="s">
        <v>87</v>
      </c>
      <c r="B9" s="55"/>
      <c r="C9" s="56"/>
      <c r="D9" s="57">
        <f>D10-D8</f>
        <v>12000</v>
      </c>
      <c r="E9" s="50"/>
      <c r="F9" s="62" t="s">
        <v>97</v>
      </c>
      <c r="G9" s="50"/>
      <c r="H9" s="50"/>
    </row>
    <row r="10" spans="1:8" x14ac:dyDescent="0.25">
      <c r="A10" s="58" t="s">
        <v>88</v>
      </c>
      <c r="B10" s="59"/>
      <c r="C10" s="60"/>
      <c r="D10" s="61">
        <v>60000</v>
      </c>
      <c r="E10" s="50"/>
      <c r="F10" s="62" t="s">
        <v>98</v>
      </c>
      <c r="G10" s="50"/>
      <c r="H10" s="50"/>
    </row>
    <row r="12" spans="1:8" x14ac:dyDescent="0.25">
      <c r="A12" s="48" t="s">
        <v>94</v>
      </c>
    </row>
    <row r="13" spans="1:8" x14ac:dyDescent="0.25">
      <c r="A13" s="49" t="s">
        <v>91</v>
      </c>
      <c r="B13" s="49"/>
      <c r="C13" s="50"/>
      <c r="D13" s="50"/>
      <c r="E13" s="50"/>
      <c r="F13" s="50"/>
      <c r="G13" s="50"/>
    </row>
    <row r="14" spans="1:8" x14ac:dyDescent="0.25">
      <c r="A14" s="49" t="s">
        <v>92</v>
      </c>
      <c r="B14" s="49"/>
      <c r="C14" s="50"/>
      <c r="D14" s="50"/>
      <c r="E14" s="50"/>
      <c r="F14" s="50"/>
      <c r="G14" s="50"/>
    </row>
    <row r="15" spans="1:8" x14ac:dyDescent="0.25">
      <c r="A15" s="49" t="s">
        <v>95</v>
      </c>
      <c r="B15" s="49"/>
      <c r="C15" s="50"/>
      <c r="D15" s="50"/>
      <c r="E15" s="50"/>
      <c r="F15" s="50"/>
      <c r="G15" s="50"/>
    </row>
    <row r="16" spans="1:8" x14ac:dyDescent="0.25">
      <c r="A16" s="49"/>
      <c r="B16" s="49"/>
      <c r="C16" s="50"/>
      <c r="D16" s="50"/>
      <c r="E16" s="50"/>
      <c r="F16" s="50"/>
      <c r="G16" s="50"/>
    </row>
    <row r="17" spans="1:7" x14ac:dyDescent="0.25">
      <c r="A17" s="48" t="s">
        <v>29</v>
      </c>
      <c r="B17" s="49"/>
      <c r="C17" s="50"/>
      <c r="D17" s="50"/>
      <c r="E17" s="50"/>
      <c r="F17" s="50"/>
      <c r="G17" s="50"/>
    </row>
    <row r="18" spans="1:7" x14ac:dyDescent="0.25">
      <c r="A18" s="49" t="s">
        <v>93</v>
      </c>
      <c r="B18" s="49"/>
      <c r="C18" s="50"/>
      <c r="D18" s="50">
        <v>40000</v>
      </c>
      <c r="E18" s="50"/>
      <c r="F18" s="50"/>
      <c r="G18" s="50"/>
    </row>
    <row r="19" spans="1:7" x14ac:dyDescent="0.25">
      <c r="A19" s="49" t="s">
        <v>96</v>
      </c>
      <c r="B19" s="49"/>
      <c r="C19" s="50"/>
      <c r="D19" s="60">
        <f>D8</f>
        <v>48000</v>
      </c>
      <c r="E19" s="50"/>
      <c r="F19" s="50"/>
      <c r="G19" s="50"/>
    </row>
    <row r="20" spans="1:7" x14ac:dyDescent="0.25">
      <c r="A20" s="49" t="s">
        <v>100</v>
      </c>
      <c r="B20" s="49"/>
      <c r="C20" s="50"/>
      <c r="D20" s="56">
        <f>SUM(D18:D19)</f>
        <v>88000</v>
      </c>
      <c r="E20" s="50"/>
      <c r="F20" s="50"/>
      <c r="G20" s="50"/>
    </row>
    <row r="21" spans="1:7" x14ac:dyDescent="0.25">
      <c r="A21" s="49"/>
      <c r="B21" s="49"/>
      <c r="C21" s="50"/>
      <c r="D21" s="50"/>
      <c r="E21" s="50"/>
      <c r="F21" s="50"/>
      <c r="G21" s="50"/>
    </row>
    <row r="22" spans="1:7" x14ac:dyDescent="0.25">
      <c r="A22" s="48" t="s">
        <v>40</v>
      </c>
    </row>
    <row r="23" spans="1:7" x14ac:dyDescent="0.25">
      <c r="A23" s="49" t="s">
        <v>101</v>
      </c>
      <c r="B23" s="49"/>
      <c r="C23" s="50"/>
      <c r="D23" s="50">
        <f>D20</f>
        <v>88000</v>
      </c>
      <c r="E23" s="50"/>
      <c r="F23" s="50"/>
      <c r="G23" s="50"/>
    </row>
    <row r="24" spans="1:7" x14ac:dyDescent="0.25">
      <c r="A24" s="49" t="s">
        <v>111</v>
      </c>
      <c r="B24" s="49"/>
      <c r="C24" s="50"/>
      <c r="D24" s="50">
        <v>20000</v>
      </c>
      <c r="E24" s="50" t="s">
        <v>103</v>
      </c>
      <c r="F24" s="50"/>
      <c r="G24" s="50"/>
    </row>
    <row r="25" spans="1:7" x14ac:dyDescent="0.25">
      <c r="A25" s="49" t="s">
        <v>102</v>
      </c>
      <c r="B25" s="49"/>
      <c r="C25" s="50"/>
      <c r="D25" s="56">
        <f>SUM(D23:D24)</f>
        <v>108000</v>
      </c>
      <c r="E25" s="50" t="s">
        <v>104</v>
      </c>
      <c r="F25" s="50"/>
      <c r="G25" s="50"/>
    </row>
    <row r="27" spans="1:7" x14ac:dyDescent="0.25">
      <c r="A27" s="48" t="s">
        <v>30</v>
      </c>
    </row>
    <row r="28" spans="1:7" x14ac:dyDescent="0.25">
      <c r="A28" s="49" t="s">
        <v>105</v>
      </c>
      <c r="B28" s="49"/>
      <c r="C28" s="50"/>
      <c r="D28" s="50">
        <v>1200000</v>
      </c>
    </row>
    <row r="29" spans="1:7" x14ac:dyDescent="0.25">
      <c r="A29" s="63" t="s">
        <v>106</v>
      </c>
      <c r="B29" s="49"/>
      <c r="C29" s="50"/>
      <c r="D29" s="50"/>
    </row>
    <row r="30" spans="1:7" x14ac:dyDescent="0.25">
      <c r="A30" s="49" t="s">
        <v>90</v>
      </c>
      <c r="B30" s="49"/>
      <c r="C30" s="50"/>
      <c r="D30" s="60">
        <f>D10</f>
        <v>60000</v>
      </c>
    </row>
    <row r="31" spans="1:7" x14ac:dyDescent="0.25">
      <c r="A31" s="49" t="s">
        <v>108</v>
      </c>
      <c r="B31" s="49"/>
      <c r="C31" s="50"/>
      <c r="D31" s="50">
        <f>D28-D30</f>
        <v>1140000</v>
      </c>
    </row>
    <row r="32" spans="1:7" x14ac:dyDescent="0.25">
      <c r="A32" s="49" t="s">
        <v>109</v>
      </c>
      <c r="B32" s="49"/>
      <c r="C32" s="50"/>
      <c r="D32" s="50">
        <v>50000</v>
      </c>
    </row>
    <row r="33" spans="1:13" x14ac:dyDescent="0.25">
      <c r="A33" s="49" t="s">
        <v>107</v>
      </c>
      <c r="B33" s="49"/>
      <c r="C33" s="50"/>
      <c r="D33" s="56">
        <f>D31-D32</f>
        <v>1090000</v>
      </c>
    </row>
    <row r="35" spans="1:13" x14ac:dyDescent="0.25">
      <c r="A35" s="48" t="s">
        <v>112</v>
      </c>
    </row>
    <row r="36" spans="1:13" x14ac:dyDescent="0.25">
      <c r="A36" s="49" t="s">
        <v>110</v>
      </c>
    </row>
    <row r="37" spans="1:13" ht="15.75" x14ac:dyDescent="0.25">
      <c r="A37" s="36"/>
      <c r="B37" s="36"/>
      <c r="C37" s="37"/>
      <c r="D37" s="82" t="s">
        <v>11</v>
      </c>
      <c r="E37" s="83"/>
      <c r="F37" s="82" t="s">
        <v>77</v>
      </c>
      <c r="G37" s="83"/>
      <c r="H37" s="82" t="s">
        <v>78</v>
      </c>
      <c r="I37" s="83"/>
      <c r="J37" s="82" t="s">
        <v>71</v>
      </c>
      <c r="K37" s="83"/>
      <c r="M37" s="64"/>
    </row>
    <row r="38" spans="1:13" ht="15.75" x14ac:dyDescent="0.25">
      <c r="A38" s="68">
        <v>1500</v>
      </c>
      <c r="B38" s="38" t="s">
        <v>113</v>
      </c>
      <c r="C38" s="39"/>
      <c r="D38" s="40">
        <v>1200000</v>
      </c>
      <c r="E38" s="65"/>
      <c r="F38" s="41"/>
      <c r="G38" s="65">
        <f>D30</f>
        <v>60000</v>
      </c>
      <c r="H38" s="41"/>
      <c r="I38" s="65"/>
      <c r="J38" s="41">
        <f>D38-G38</f>
        <v>1140000</v>
      </c>
      <c r="K38" s="65"/>
    </row>
    <row r="39" spans="1:13" ht="15.75" x14ac:dyDescent="0.25">
      <c r="A39" s="69">
        <v>1580</v>
      </c>
      <c r="B39" s="42" t="s">
        <v>79</v>
      </c>
      <c r="C39" s="43"/>
      <c r="D39" s="44"/>
      <c r="E39" s="66">
        <v>30000</v>
      </c>
      <c r="F39" s="44"/>
      <c r="G39" s="66">
        <f>D24</f>
        <v>20000</v>
      </c>
      <c r="H39" s="44"/>
      <c r="I39" s="66"/>
      <c r="J39" s="44"/>
      <c r="K39" s="66">
        <f>E39+G39</f>
        <v>50000</v>
      </c>
    </row>
    <row r="40" spans="1:13" ht="15.75" x14ac:dyDescent="0.25">
      <c r="A40" s="69">
        <v>2710</v>
      </c>
      <c r="B40" s="42" t="s">
        <v>80</v>
      </c>
      <c r="C40" s="43"/>
      <c r="D40" s="44"/>
      <c r="E40" s="66"/>
      <c r="F40" s="44">
        <f>D9</f>
        <v>12000</v>
      </c>
      <c r="G40" s="66"/>
      <c r="H40" s="44"/>
      <c r="I40" s="66"/>
      <c r="J40" s="44"/>
      <c r="K40" s="66"/>
    </row>
    <row r="41" spans="1:13" ht="15.75" x14ac:dyDescent="0.25">
      <c r="A41" s="69"/>
      <c r="B41" s="42"/>
      <c r="C41" s="43"/>
      <c r="D41" s="44"/>
      <c r="E41" s="66"/>
      <c r="F41" s="44"/>
      <c r="G41" s="66"/>
      <c r="H41" s="44"/>
      <c r="I41" s="66"/>
      <c r="J41" s="44"/>
      <c r="K41" s="66"/>
    </row>
    <row r="42" spans="1:13" ht="15.75" x14ac:dyDescent="0.25">
      <c r="A42" s="70">
        <v>7830</v>
      </c>
      <c r="B42" s="45" t="s">
        <v>81</v>
      </c>
      <c r="C42" s="46"/>
      <c r="D42" s="47">
        <v>40000</v>
      </c>
      <c r="E42" s="67"/>
      <c r="F42" s="47">
        <f>G39+D19</f>
        <v>68000</v>
      </c>
      <c r="G42" s="67"/>
      <c r="H42" s="47">
        <f>D42+F42</f>
        <v>108000</v>
      </c>
      <c r="I42" s="67"/>
      <c r="J42" s="47"/>
      <c r="K42" s="67"/>
    </row>
  </sheetData>
  <mergeCells count="4">
    <mergeCell ref="D37:E37"/>
    <mergeCell ref="F37:G37"/>
    <mergeCell ref="H37:I37"/>
    <mergeCell ref="J37:K37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C05C-E8C3-4BAA-B43B-5E3C4A718F78}">
  <dimension ref="A1:A8"/>
  <sheetViews>
    <sheetView workbookViewId="0">
      <selection activeCell="A9" sqref="A9"/>
    </sheetView>
  </sheetViews>
  <sheetFormatPr baseColWidth="10" defaultRowHeight="15" x14ac:dyDescent="0.25"/>
  <sheetData>
    <row r="1" spans="1:1" x14ac:dyDescent="0.25">
      <c r="A1" s="23" t="s">
        <v>29</v>
      </c>
    </row>
    <row r="2" spans="1:1" ht="15.75" x14ac:dyDescent="0.25">
      <c r="A2" s="79" t="s">
        <v>169</v>
      </c>
    </row>
    <row r="3" spans="1:1" ht="15.75" x14ac:dyDescent="0.25">
      <c r="A3" s="79" t="s">
        <v>170</v>
      </c>
    </row>
    <row r="5" spans="1:1" x14ac:dyDescent="0.25">
      <c r="A5" s="23" t="s">
        <v>40</v>
      </c>
    </row>
    <row r="6" spans="1:1" ht="15.75" x14ac:dyDescent="0.25">
      <c r="A6" s="79" t="s">
        <v>171</v>
      </c>
    </row>
    <row r="7" spans="1:1" ht="15.75" x14ac:dyDescent="0.25">
      <c r="A7" s="79" t="s">
        <v>172</v>
      </c>
    </row>
    <row r="8" spans="1:1" ht="15.75" x14ac:dyDescent="0.25">
      <c r="A8" s="7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Oppgave 1</vt:lpstr>
      <vt:lpstr>Løsningsforslag oppgave 1</vt:lpstr>
      <vt:lpstr>Oppgave 2</vt:lpstr>
      <vt:lpstr>Løsningsforslag oppgave 2</vt:lpstr>
      <vt:lpstr>Oppgave 3</vt:lpstr>
      <vt:lpstr>Løsningsforslag oppgave 3</vt:lpstr>
      <vt:lpstr>Oppgave 4</vt:lpstr>
      <vt:lpstr>Løsningsforslag oppgave 4</vt:lpstr>
      <vt:lpstr>Løsningsforslag oppgave 5</vt:lpstr>
      <vt:lpstr>Oppgave 6</vt:lpstr>
      <vt:lpstr>Løsning oppgave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O. Pedersen</dc:creator>
  <cp:lastModifiedBy>Raul Boris Farina Briceno</cp:lastModifiedBy>
  <dcterms:created xsi:type="dcterms:W3CDTF">2023-11-12T22:24:18Z</dcterms:created>
  <dcterms:modified xsi:type="dcterms:W3CDTF">2024-01-12T08:38:51Z</dcterms:modified>
</cp:coreProperties>
</file>