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UDIE\EKSAMEN\Eksamen Halden\Oppgavesett\VÅR 2022\ØIS\Sensorveiledninger\"/>
    </mc:Choice>
  </mc:AlternateContent>
  <xr:revisionPtr revIDLastSave="0" documentId="8_{DEDD52B9-6822-4CCF-A61B-00D91077DAA9}" xr6:coauthVersionLast="36" xr6:coauthVersionMax="36" xr10:uidLastSave="{00000000-0000-0000-0000-000000000000}"/>
  <bookViews>
    <workbookView xWindow="0" yWindow="0" windowWidth="21570" windowHeight="9330" activeTab="5" xr2:uid="{00000000-000D-0000-FFFF-FFFF00000000}"/>
  </bookViews>
  <sheets>
    <sheet name="Oppgave 1" sheetId="1" r:id="rId1"/>
    <sheet name="Oppgave 2" sheetId="2" r:id="rId2"/>
    <sheet name="Oppgave 3" sheetId="3" r:id="rId3"/>
    <sheet name="Oppgave 4" sheetId="4" r:id="rId4"/>
    <sheet name="Oppgave 5" sheetId="5" r:id="rId5"/>
    <sheet name="Oppgave 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4" l="1"/>
  <c r="I45" i="4"/>
  <c r="I41" i="4"/>
  <c r="I40" i="4"/>
  <c r="I42" i="4" s="1"/>
  <c r="I44" i="4" s="1"/>
  <c r="J44" i="4" s="1"/>
  <c r="J46" i="4"/>
  <c r="J45" i="4"/>
  <c r="I47" i="4" l="1"/>
  <c r="I49" i="4" s="1"/>
  <c r="I51" i="4" s="1"/>
  <c r="J47" i="4" l="1"/>
  <c r="D7" i="4"/>
  <c r="G35" i="5" l="1"/>
  <c r="D21" i="5" s="1"/>
  <c r="E32" i="5"/>
  <c r="G28" i="5"/>
  <c r="E21" i="5" s="1"/>
  <c r="E25" i="5"/>
  <c r="N38" i="5"/>
  <c r="O40" i="5" s="1"/>
  <c r="L31" i="5"/>
  <c r="O41" i="5" s="1"/>
  <c r="Q40" i="5" l="1"/>
  <c r="M46" i="5" s="1"/>
  <c r="O12" i="5" l="1"/>
  <c r="P12" i="5" s="1"/>
  <c r="M12" i="5"/>
  <c r="N12" i="5" s="1"/>
  <c r="K12" i="5"/>
  <c r="F12" i="5"/>
  <c r="E12" i="5"/>
  <c r="D12" i="5"/>
  <c r="P11" i="5"/>
  <c r="N11" i="5"/>
  <c r="L11" i="5"/>
  <c r="P10" i="5"/>
  <c r="N10" i="5"/>
  <c r="L10" i="5"/>
  <c r="P9" i="5"/>
  <c r="N9" i="5"/>
  <c r="L9" i="5"/>
  <c r="O7" i="5"/>
  <c r="O15" i="5" s="1"/>
  <c r="M7" i="5"/>
  <c r="M15" i="5" s="1"/>
  <c r="K7" i="5"/>
  <c r="K13" i="5" s="1"/>
  <c r="F7" i="5"/>
  <c r="E7" i="5"/>
  <c r="D7" i="5"/>
  <c r="P6" i="5"/>
  <c r="N6" i="5"/>
  <c r="L6" i="5"/>
  <c r="P5" i="5"/>
  <c r="N5" i="5"/>
  <c r="L5" i="5"/>
  <c r="P4" i="5"/>
  <c r="N4" i="5"/>
  <c r="L4" i="5"/>
  <c r="F13" i="5" l="1"/>
  <c r="L13" i="5"/>
  <c r="E31" i="5"/>
  <c r="N7" i="5"/>
  <c r="D13" i="5"/>
  <c r="O13" i="5"/>
  <c r="E13" i="5"/>
  <c r="O16" i="5"/>
  <c r="O17" i="5" s="1"/>
  <c r="O18" i="5" s="1"/>
  <c r="M16" i="5"/>
  <c r="M17" i="5" s="1"/>
  <c r="M18" i="5" s="1"/>
  <c r="P7" i="5"/>
  <c r="M13" i="5"/>
  <c r="L7" i="5"/>
  <c r="K15" i="5"/>
  <c r="K16" i="5" s="1"/>
  <c r="K17" i="5" s="1"/>
  <c r="K18" i="5" s="1"/>
  <c r="L12" i="5"/>
  <c r="N13" i="5" l="1"/>
  <c r="E24" i="5"/>
  <c r="G34" i="5"/>
  <c r="D20" i="5" s="1"/>
  <c r="G31" i="5"/>
  <c r="D19" i="5" s="1"/>
  <c r="P13" i="5"/>
  <c r="L30" i="5"/>
  <c r="D40" i="4"/>
  <c r="D44" i="4" s="1"/>
  <c r="D34" i="4"/>
  <c r="D33" i="4"/>
  <c r="D32" i="4"/>
  <c r="D22" i="4"/>
  <c r="G14" i="4"/>
  <c r="G15" i="4" s="1"/>
  <c r="C14" i="4"/>
  <c r="E15" i="4" s="1"/>
  <c r="A14" i="4"/>
  <c r="C15" i="4" s="1"/>
  <c r="I60" i="3"/>
  <c r="I50" i="3"/>
  <c r="I40" i="3"/>
  <c r="I35" i="3"/>
  <c r="D35" i="4" l="1"/>
  <c r="G27" i="5"/>
  <c r="E20" i="5" s="1"/>
  <c r="G24" i="5"/>
  <c r="E19" i="5" s="1"/>
  <c r="C16" i="4"/>
  <c r="N37" i="5"/>
  <c r="P37" i="5" s="1"/>
  <c r="M45" i="5" s="1"/>
  <c r="N30" i="5"/>
  <c r="M44" i="5" s="1"/>
  <c r="H36" i="3"/>
  <c r="G36" i="3"/>
  <c r="I28" i="3"/>
  <c r="I21" i="3"/>
  <c r="G26" i="3"/>
  <c r="I26" i="3" s="1"/>
  <c r="G24" i="3"/>
  <c r="I24" i="3" s="1"/>
  <c r="G20" i="3"/>
  <c r="I20" i="3" s="1"/>
  <c r="G18" i="3"/>
  <c r="I18" i="3" s="1"/>
  <c r="J11" i="3"/>
  <c r="H19" i="3" s="1"/>
  <c r="I19" i="3" s="1"/>
  <c r="K7" i="3"/>
  <c r="K8" i="3"/>
  <c r="J7" i="3"/>
  <c r="J8" i="3"/>
  <c r="E42" i="3"/>
  <c r="D42" i="3"/>
  <c r="M55" i="3" s="1"/>
  <c r="I9" i="3"/>
  <c r="J9" i="3" s="1"/>
  <c r="I6" i="3"/>
  <c r="K6" i="3" s="1"/>
  <c r="E61" i="3"/>
  <c r="D61" i="3"/>
  <c r="E51" i="3"/>
  <c r="D51" i="3"/>
  <c r="E29" i="3"/>
  <c r="D29" i="3"/>
  <c r="E22" i="3"/>
  <c r="D22" i="3"/>
  <c r="D50" i="2"/>
  <c r="D30" i="2"/>
  <c r="D14" i="2"/>
  <c r="D9" i="2"/>
  <c r="E9" i="2" s="1"/>
  <c r="B11" i="2"/>
  <c r="E11" i="2" s="1"/>
  <c r="D26" i="2" s="1"/>
  <c r="B19" i="1"/>
  <c r="B6" i="1"/>
  <c r="B7" i="1" s="1"/>
  <c r="M45" i="3" l="1"/>
  <c r="M69" i="3"/>
  <c r="M56" i="3"/>
  <c r="H48" i="3"/>
  <c r="G48" i="3"/>
  <c r="H47" i="3"/>
  <c r="I47" i="3" s="1"/>
  <c r="G53" i="3"/>
  <c r="I53" i="3" s="1"/>
  <c r="G56" i="3"/>
  <c r="G46" i="3"/>
  <c r="H27" i="3"/>
  <c r="J6" i="3"/>
  <c r="J10" i="3" s="1"/>
  <c r="J12" i="3" s="1"/>
  <c r="G17" i="3" s="1"/>
  <c r="I10" i="3"/>
  <c r="K9" i="3"/>
  <c r="K10" i="3" s="1"/>
  <c r="H25" i="3" s="1"/>
  <c r="I25" i="3" s="1"/>
  <c r="D43" i="2"/>
  <c r="D49" i="2"/>
  <c r="D31" i="2"/>
  <c r="D33" i="2" s="1"/>
  <c r="D36" i="2" s="1"/>
  <c r="D38" i="2" s="1"/>
  <c r="D15" i="2"/>
  <c r="D16" i="2" s="1"/>
  <c r="D19" i="2" s="1"/>
  <c r="D21" i="2" s="1"/>
  <c r="D25" i="2" s="1"/>
  <c r="D27" i="2" s="1"/>
  <c r="B10" i="1"/>
  <c r="B12" i="1" s="1"/>
  <c r="B14" i="1" s="1"/>
  <c r="B36" i="1"/>
  <c r="B26" i="1"/>
  <c r="B20" i="1"/>
  <c r="B22" i="1" s="1"/>
  <c r="B30" i="1" s="1"/>
  <c r="M48" i="3" l="1"/>
  <c r="M72" i="3"/>
  <c r="M59" i="3"/>
  <c r="H46" i="3"/>
  <c r="I46" i="3"/>
  <c r="H49" i="3"/>
  <c r="G39" i="3"/>
  <c r="I39" i="3" s="1"/>
  <c r="I17" i="3"/>
  <c r="I22" i="3" s="1"/>
  <c r="G45" i="3"/>
  <c r="I27" i="3"/>
  <c r="I29" i="3" s="1"/>
  <c r="H59" i="3"/>
  <c r="H54" i="3"/>
  <c r="H29" i="3"/>
  <c r="G29" i="3"/>
  <c r="D48" i="2"/>
  <c r="D51" i="2" s="1"/>
  <c r="D42" i="2"/>
  <c r="D44" i="2" s="1"/>
  <c r="B31" i="1"/>
  <c r="B32" i="1"/>
  <c r="B38" i="1" s="1"/>
  <c r="B44" i="1" s="1"/>
  <c r="B24" i="1"/>
  <c r="B25" i="1" s="1"/>
  <c r="M71" i="3" l="1"/>
  <c r="M58" i="3"/>
  <c r="H41" i="3"/>
  <c r="M46" i="3"/>
  <c r="M70" i="3"/>
  <c r="M57" i="3"/>
  <c r="G37" i="3"/>
  <c r="I36" i="3" s="1"/>
  <c r="I45" i="3"/>
  <c r="I51" i="3" s="1"/>
  <c r="M47" i="3"/>
  <c r="I59" i="3"/>
  <c r="I48" i="3"/>
  <c r="G59" i="3"/>
  <c r="M49" i="3"/>
  <c r="H45" i="3"/>
  <c r="B27" i="1"/>
  <c r="B37" i="1" s="1"/>
  <c r="B39" i="1" s="1"/>
  <c r="B42" i="1"/>
  <c r="B45" i="1" s="1"/>
  <c r="I42" i="3" l="1"/>
  <c r="M50" i="3"/>
  <c r="M51" i="3" s="1"/>
  <c r="M60" i="3"/>
  <c r="M76" i="3"/>
  <c r="M61" i="3"/>
  <c r="M62" i="3" s="1"/>
  <c r="I41" i="3"/>
  <c r="M73" i="3"/>
  <c r="M74" i="3" s="1"/>
  <c r="M75" i="3" s="1"/>
  <c r="M77" i="3" s="1"/>
  <c r="H55" i="3"/>
  <c r="I54" i="3" s="1"/>
  <c r="G58" i="3"/>
  <c r="G38" i="3"/>
  <c r="I38" i="3" s="1"/>
  <c r="H42" i="3" l="1"/>
  <c r="H61" i="3" l="1"/>
  <c r="G57" i="3"/>
  <c r="G61" i="3" l="1"/>
  <c r="I56" i="3"/>
  <c r="I61" i="3" s="1"/>
</calcChain>
</file>

<file path=xl/sharedStrings.xml><?xml version="1.0" encoding="utf-8"?>
<sst xmlns="http://schemas.openxmlformats.org/spreadsheetml/2006/main" count="332" uniqueCount="230">
  <si>
    <t>a)</t>
  </si>
  <si>
    <t>Totalt anslåtte kostnader på kontraktstidspunkt</t>
  </si>
  <si>
    <t>Kontraktssum</t>
  </si>
  <si>
    <t>b)</t>
  </si>
  <si>
    <t>Utsatt skatt</t>
  </si>
  <si>
    <t>c)</t>
  </si>
  <si>
    <t>Anslåtte resterende kostnader</t>
  </si>
  <si>
    <t>Totale kostnader</t>
  </si>
  <si>
    <t>d)</t>
  </si>
  <si>
    <t>Kontrakten vil da gå ut med et tap</t>
  </si>
  <si>
    <t>På samme tidspunkt er 70% av dette realisert (jf. Fullføringsgraden</t>
  </si>
  <si>
    <t>e)</t>
  </si>
  <si>
    <t>Balanseført verdi av fordringen blir:</t>
  </si>
  <si>
    <t>f)</t>
  </si>
  <si>
    <t>Påløpt kostnad 2020</t>
  </si>
  <si>
    <t>Fullføringsgrad 2020</t>
  </si>
  <si>
    <t>Inntekt 2020</t>
  </si>
  <si>
    <t>Regnskapsmessig verdi 2020</t>
  </si>
  <si>
    <t>Skattemessig verdi 2020</t>
  </si>
  <si>
    <t>Midlertidig forskjell 2020</t>
  </si>
  <si>
    <t>Utsatt skattegjeld 2020</t>
  </si>
  <si>
    <t>Påløpte kostnader 2021</t>
  </si>
  <si>
    <t>Fullføringsgrad 2021</t>
  </si>
  <si>
    <t>Inntekt 2020 og 2021</t>
  </si>
  <si>
    <t>Herav inntektsført 2020</t>
  </si>
  <si>
    <t>Inntekt 2021</t>
  </si>
  <si>
    <t>Fordring 2020</t>
  </si>
  <si>
    <t>Fordring 2021</t>
  </si>
  <si>
    <t>Inntekt 2022</t>
  </si>
  <si>
    <t>Kostnader 2022</t>
  </si>
  <si>
    <t>Tilbakeføring avsetniung tap 2021</t>
  </si>
  <si>
    <t>Forventet tap 2021</t>
  </si>
  <si>
    <t>Urealisert tap 2021</t>
  </si>
  <si>
    <t>Avsetning tap 2021</t>
  </si>
  <si>
    <t>Balanseført verdi av fordringen 2021 blir:</t>
  </si>
  <si>
    <t>Kontrakten påvirker driftsresultatet positivt 2022 med</t>
  </si>
  <si>
    <t xml:space="preserve">Rv </t>
  </si>
  <si>
    <t xml:space="preserve"> -Sv</t>
  </si>
  <si>
    <t>Endring</t>
  </si>
  <si>
    <t>Skattepliktig resultat:</t>
  </si>
  <si>
    <t>Resultat før skattekostnad</t>
  </si>
  <si>
    <t>Skattepliktig inntekt 2021</t>
  </si>
  <si>
    <t>Resultat før skattekostnad 2021</t>
  </si>
  <si>
    <t>Betalbar skatt 2021</t>
  </si>
  <si>
    <t>Skattekostnad</t>
  </si>
  <si>
    <t>Skattekostnad:</t>
  </si>
  <si>
    <t>Endring utsatt skatt</t>
  </si>
  <si>
    <t>Skattekostnad 2021</t>
  </si>
  <si>
    <t>Permanent forskjell</t>
  </si>
  <si>
    <t>g)</t>
  </si>
  <si>
    <t>h)</t>
  </si>
  <si>
    <t>Utlignet skatt 2021 for 2020</t>
  </si>
  <si>
    <t>Skattebom 2020</t>
  </si>
  <si>
    <t>Anleggsmidler</t>
  </si>
  <si>
    <t>Aksjer i Datter AS</t>
  </si>
  <si>
    <t>Sum eiendeler</t>
  </si>
  <si>
    <t>Aksjekapital</t>
  </si>
  <si>
    <t>Annen egenkapital</t>
  </si>
  <si>
    <t>Gjeld</t>
  </si>
  <si>
    <t>MOR AS</t>
  </si>
  <si>
    <t>DATTER AS</t>
  </si>
  <si>
    <t>Driftsinntekter</t>
  </si>
  <si>
    <t>Driftskostnader</t>
  </si>
  <si>
    <t>Avskrivninger</t>
  </si>
  <si>
    <t>Årsresultat</t>
  </si>
  <si>
    <t>Askjer i Datter AS</t>
  </si>
  <si>
    <t>Varelager</t>
  </si>
  <si>
    <t>Sum egenkapital og gjeld</t>
  </si>
  <si>
    <t>Finanskostnader</t>
  </si>
  <si>
    <t>Resultatregnskap 2021</t>
  </si>
  <si>
    <t>Balanseregnskap 31.12.2021</t>
  </si>
  <si>
    <t>Balanseregnskap 1.1.2021</t>
  </si>
  <si>
    <t>Andre omløpsmidler</t>
  </si>
  <si>
    <t>Sum gjeld og egenkapital</t>
  </si>
  <si>
    <t>Skjema midlertidige forskjeller</t>
  </si>
  <si>
    <t>Endring midlertidige forskjeller</t>
  </si>
  <si>
    <t>Merverdianalyse:</t>
  </si>
  <si>
    <t>Totalt</t>
  </si>
  <si>
    <t>Mor AS</t>
  </si>
  <si>
    <t>Datter AS</t>
  </si>
  <si>
    <t>Egenkapital Datter AS 1.1</t>
  </si>
  <si>
    <t>Merverdi AM Datter AS</t>
  </si>
  <si>
    <t>Merverdi varer Datter AS</t>
  </si>
  <si>
    <t>Substansverdi</t>
  </si>
  <si>
    <t>Anskaffelseskost aksjer</t>
  </si>
  <si>
    <t>GW</t>
  </si>
  <si>
    <t>Eliminering</t>
  </si>
  <si>
    <t>Debet</t>
  </si>
  <si>
    <t>Kredit</t>
  </si>
  <si>
    <t>Konsernregnskap</t>
  </si>
  <si>
    <t>Minoritetsinteresse</t>
  </si>
  <si>
    <t>Elimineringer på oppkjøpstidspunkt</t>
  </si>
  <si>
    <t>Avskrivnunger GW</t>
  </si>
  <si>
    <t>Avskrivninger GW: 378/3 = 126</t>
  </si>
  <si>
    <t>Avskrivning merverdi AM: 450/10 = 45</t>
  </si>
  <si>
    <t>Internt varesalg fra D til M: 800</t>
  </si>
  <si>
    <t>Intern fortjeneste varer fra D til M: 75</t>
  </si>
  <si>
    <t>Merverdi varer 1.1 solgt: 50</t>
  </si>
  <si>
    <t>Utsatt skatt:( 45+75+50)*22 % = 37</t>
  </si>
  <si>
    <t>Annen EK korrigeres med 259</t>
  </si>
  <si>
    <t>d) Datter sitt bidrag til konsernresultatet:</t>
  </si>
  <si>
    <t>Årsresultat Datter AS</t>
  </si>
  <si>
    <t>Avskrivning merverdi AM</t>
  </si>
  <si>
    <t>Merverdi varer 1.1</t>
  </si>
  <si>
    <t>Internfortjeneste</t>
  </si>
  <si>
    <t>Datters andel</t>
  </si>
  <si>
    <t>Kontroll av annen EK konsernet (ikke en del av oppgaven):</t>
  </si>
  <si>
    <t>Årsresultat Mor AS</t>
  </si>
  <si>
    <t>80 % av årsresultat Datter AS</t>
  </si>
  <si>
    <t>80 % avskrivning merverdi AM</t>
  </si>
  <si>
    <t>80 % avskrivning merverdi varer</t>
  </si>
  <si>
    <t>80 % internfortejenste</t>
  </si>
  <si>
    <t>Avskrivning GW</t>
  </si>
  <si>
    <t>80 % skattekostnad</t>
  </si>
  <si>
    <t>Annen egenkapital i konsernbalansen per 31.12.20 ser vi dermed er lik annen egenkapital i konsernbalansen per</t>
  </si>
  <si>
    <t xml:space="preserve">1.1.21 med tillegg for majoritetens andel av konsernresultatet for 2021 kr 2 178,92 (500 + 1 678,92). </t>
  </si>
  <si>
    <t>Selskapets varekostnad 2021</t>
  </si>
  <si>
    <t>Varelager til anskaffesleskost 1.1.21</t>
  </si>
  <si>
    <t>Anskaffelseskost varelager 31.12.21</t>
  </si>
  <si>
    <t>Virkelig verdi varelager 31.12.21</t>
  </si>
  <si>
    <t>Leverandørgjeld 1.1.21</t>
  </si>
  <si>
    <t>Leverandørgjeld 31.12.21</t>
  </si>
  <si>
    <t>Varekostnad = IB + kjøp - UB</t>
  </si>
  <si>
    <t xml:space="preserve"> =</t>
  </si>
  <si>
    <t xml:space="preserve"> +</t>
  </si>
  <si>
    <t>x</t>
  </si>
  <si>
    <t xml:space="preserve"> - </t>
  </si>
  <si>
    <t>Kjøp i USD</t>
  </si>
  <si>
    <t>Kurs 31.12.21</t>
  </si>
  <si>
    <t>Kundefordringen skal balanseføres med</t>
  </si>
  <si>
    <t>Bokført verdi kundefordringer 31.12.20</t>
  </si>
  <si>
    <t>Pålyndende verdi kundefordringer 31.12.20</t>
  </si>
  <si>
    <t>Nottatt dividente 2020</t>
  </si>
  <si>
    <t>Bokført verdi kundefordringer 31.12.21</t>
  </si>
  <si>
    <t>Pålyndende verdi kundefordringer 31.12.21</t>
  </si>
  <si>
    <t>Konstaterte tap 2021</t>
  </si>
  <si>
    <t>Avsetning for urealserit tap 2021</t>
  </si>
  <si>
    <t>Reversert tapsavsetning 2020</t>
  </si>
  <si>
    <t>Konstaerte tap 2021</t>
  </si>
  <si>
    <t>Kostnadsførte tap på fordringer 2021</t>
  </si>
  <si>
    <t>Variable tilvirkningskostnader prpdukt Y</t>
  </si>
  <si>
    <t>Fatse tilvirkningskostnader produkt Y</t>
  </si>
  <si>
    <t>Full tilvikrningskost</t>
  </si>
  <si>
    <t>Produserte enheter</t>
  </si>
  <si>
    <t>Full tilv,kost per enhet</t>
  </si>
  <si>
    <t>Antall enheter Y på lager 31.12.21</t>
  </si>
  <si>
    <t>Datter AS sitt bidrag til konsernresultatet for 2021?</t>
  </si>
  <si>
    <t>Resultat før GW avskrivnig (80%)</t>
  </si>
  <si>
    <t>Resultatbirdrag Datter AS</t>
  </si>
  <si>
    <t>Kr</t>
  </si>
  <si>
    <t>%</t>
  </si>
  <si>
    <t xml:space="preserve">Omsetning </t>
  </si>
  <si>
    <t xml:space="preserve"> - Vareforbruk</t>
  </si>
  <si>
    <t xml:space="preserve"> - Variabel lønn</t>
  </si>
  <si>
    <t xml:space="preserve"> = Dekningsbidrag</t>
  </si>
  <si>
    <t>Faste kostnader:</t>
  </si>
  <si>
    <t>Diverse adm. Kostnader</t>
  </si>
  <si>
    <t>Rentekostnader</t>
  </si>
  <si>
    <t>Sum faste kostnader</t>
  </si>
  <si>
    <t>Resultat</t>
  </si>
  <si>
    <t>Dekningsgrad</t>
  </si>
  <si>
    <t>Nullpunktomsetning</t>
  </si>
  <si>
    <t>Sikkerhetsmargin i kroner</t>
  </si>
  <si>
    <t>Sikkerhetsmargin i %</t>
  </si>
  <si>
    <t>Resultatet har økt både i kroner og i prosent av omsetningen i løpet av treårsperioden. Dekningsgraden har hatt en liten økning</t>
  </si>
  <si>
    <t>På den annen side har de faste kostnadene en relativ nedgang. Fallet i rentekostnadene skyldes enten en nedghang i rentebærende gjeld</t>
  </si>
  <si>
    <t>eller fall i rentenivået.</t>
  </si>
  <si>
    <t>de faste kostnadene forklarer den bedrede lønnsomheten. Dette har igjen ført til en betydelig økning i sikkerhetsmarginen.</t>
  </si>
  <si>
    <t>Dekningsgrad = dekningsbidraget i % av driftsinntektene. EN dekningsgrad på 40 % betyr at vi har igjen 0,40 av hversalgskrone til å dekke de faste kostnadene.</t>
  </si>
  <si>
    <t>Nullpunktomsetning = er den omsetningen vi må ha for at vi skal få dekket alle kostnadene. Ved denne omsetningen vil dekningsbidraget akkurat dekke de faste kostnadene slik at resultatet blir 0.</t>
  </si>
  <si>
    <t>Sikkerhetsmargin (risikomargin) = forteller oss hvor mye omsetningen kan falle uten at virksomheten går med tap.</t>
  </si>
  <si>
    <t xml:space="preserve">i 2020, men har falt i 20x3. Vi ser en relativ økning i varekostnaden. Dette kan skyldes økte innkjøpspriser, økt svinn etc. </t>
  </si>
  <si>
    <t>Virksomheten har hatt en økning i omsetningen på 23,3 % i perioden 2019 til 2213. Dette forholdet sammen med den relative nedgangen i</t>
  </si>
  <si>
    <t>(Resultat før skatt + rentekostnader) · 100</t>
  </si>
  <si>
    <t>Gjennomsnittlig totalkapital</t>
  </si>
  <si>
    <t>=</t>
  </si>
  <si>
    <t xml:space="preserve">For å si noe mer om utvikling i lønnsomhet må vi beregne </t>
  </si>
  <si>
    <t>1. resultatgrad, og</t>
  </si>
  <si>
    <t>2. kapitalens omløpshastighet</t>
  </si>
  <si>
    <t>Resultatgrad: Totalkapitalavkastningen i prosent av driftsinntektene  =</t>
  </si>
  <si>
    <t>Kapitalens omløpshastighet: Driftsinntektene i forhold til gjennomsnittlig totalkapital =</t>
  </si>
  <si>
    <t>Totalkapitalrentabilitet</t>
  </si>
  <si>
    <t>Resultatgrad</t>
  </si>
  <si>
    <t>Kapitalens omløpshastighet</t>
  </si>
  <si>
    <t xml:space="preserve">"Syndebukkene" er både resultagraden og kapitalens omløpshastighet. Mens vi i 2020 "tjente" rundt 0,091 øre. for hver krone omsetning, </t>
  </si>
  <si>
    <t>er tilsvarende tall i 2021 0,088 øre.</t>
  </si>
  <si>
    <t>Kapitalens omløpshastighet har også falt.</t>
  </si>
  <si>
    <t>Maskin A og andre maskiner:</t>
  </si>
  <si>
    <t xml:space="preserve">henvisning til de fleste brukeres behov, er dette ikke materiale i funksjon eller natur (en egen </t>
  </si>
  <si>
    <t xml:space="preserve">beskrivelse av maskin A vil være informasjon mer teknisk enn økonomisk karakter og vil </t>
  </si>
  <si>
    <t>dermed bety veldig lite for de fleste generelle brukere).</t>
  </si>
  <si>
    <t>Møbler og kontorutstyr:</t>
  </si>
  <si>
    <t xml:space="preserve">Selv om kontormøbler og maskiner representerer to forskjellige klasser på grunnlag av at </t>
  </si>
  <si>
    <t xml:space="preserve">funksjonene deres er så forskjellige, bør møbler og maskiner aggregeres på bakgrunn av </t>
  </si>
  <si>
    <t xml:space="preserve">oversikten over finansiell stilling fordi enkelt klasse blir immateriell i denne samlede </t>
  </si>
  <si>
    <t xml:space="preserve">presentasjon. Det som er viktigere når det gjelder balanse, er at forskjellige kategorier av </t>
  </si>
  <si>
    <t xml:space="preserve">eiendeler, som varige driftsmidler og inventar, er atskilt. Detaljene i materialklassene innenfor </t>
  </si>
  <si>
    <t xml:space="preserve">kategoriene eiendom, anlegg og utstyr og inventar er inkludert i notatene. Det skal bemerkes </t>
  </si>
  <si>
    <t xml:space="preserve">at der funksjoner er materiale forskjellige, men mengder er immaterielle, kan det fortsatt være </t>
  </si>
  <si>
    <t>nødvendig å oppgi separat i notatene, som er et spørsmål om skjønn, igjen.</t>
  </si>
  <si>
    <t xml:space="preserve">Til tross for at maskin A er av materialstørrelse, bør ikke maskin A opplyes  separat, med </t>
  </si>
  <si>
    <t xml:space="preserve">Tilsvarende, til tross for materialitet i de enkelte størrelsene på balanse verdi, kan </t>
  </si>
  <si>
    <t>kontormøbler og kontorutstyr samles på grunn av at deres felles funksjon eller natur: kontorbruk.</t>
  </si>
  <si>
    <t xml:space="preserve"> b)</t>
  </si>
  <si>
    <t>Eiendom under bygging (eiendom, anlegg og utstyr)</t>
  </si>
  <si>
    <t>Bank/gjeld</t>
  </si>
  <si>
    <t>Byggekostnader påløpt 2021</t>
  </si>
  <si>
    <t>Investerimngseiendom (eiendel)</t>
  </si>
  <si>
    <t>Egenbygd bygning overført til investeringseiendom</t>
  </si>
  <si>
    <t>Investeringseiendom (eiendom, anlegg og utstyr) (450 000 - 65 000)</t>
  </si>
  <si>
    <t xml:space="preserve">Virkelig verdijustering av investeringseiendom (inntekt) </t>
  </si>
  <si>
    <t>Investeringseiendom omvurdering til virkelig verdi på ferdigstillelsesdatoen</t>
  </si>
  <si>
    <t>Herav amskaffelseskost kurante varer</t>
  </si>
  <si>
    <t>Herav anskaffelseskost ukurante varer</t>
  </si>
  <si>
    <t>Virkelig verdi ukurante varer</t>
  </si>
  <si>
    <t>Bokført verdi varelager 1.1.21</t>
  </si>
  <si>
    <t>Anskaffelseskost råvarer 2021</t>
  </si>
  <si>
    <t>Anskaffelseskost lager råvarer 31.12.21</t>
  </si>
  <si>
    <t>Inngående beholdning</t>
  </si>
  <si>
    <t>Råvarekjøp</t>
  </si>
  <si>
    <t>Råvarelaget per 31.12.2021</t>
  </si>
  <si>
    <t>Råvarekostnad</t>
  </si>
  <si>
    <t>per enhet</t>
  </si>
  <si>
    <t>Materialkostnader</t>
  </si>
  <si>
    <t>Øvrige variable tilvirkningskostnader</t>
  </si>
  <si>
    <t>Faste tilvirkningskostnader</t>
  </si>
  <si>
    <t>Full tilvirkningskost</t>
  </si>
  <si>
    <t>Tilvirkningskost per enhet</t>
  </si>
  <si>
    <t xml:space="preserve">Balanseverdi produkt Y: 400 à kr 6 150 </t>
  </si>
  <si>
    <t>Råvarekostnadene: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</si>
</sst>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43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164" fontId="2" fillId="0" borderId="0" xfId="0" applyNumberFormat="1" applyFont="1"/>
    <xf numFmtId="0" fontId="0" fillId="0" borderId="1" xfId="0" applyBorder="1"/>
    <xf numFmtId="14" fontId="2" fillId="0" borderId="0" xfId="0" applyNumberFormat="1" applyFont="1"/>
    <xf numFmtId="0" fontId="0" fillId="0" borderId="0" xfId="0" applyFont="1"/>
    <xf numFmtId="164" fontId="0" fillId="0" borderId="0" xfId="0" applyNumberFormat="1" applyBorder="1"/>
    <xf numFmtId="164" fontId="2" fillId="0" borderId="0" xfId="1" applyNumberFormat="1" applyFont="1"/>
    <xf numFmtId="164" fontId="0" fillId="0" borderId="1" xfId="1" applyNumberFormat="1" applyFont="1" applyBorder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0" fillId="0" borderId="0" xfId="1" applyNumberFormat="1" applyFont="1" applyBorder="1"/>
    <xf numFmtId="0" fontId="2" fillId="0" borderId="0" xfId="0" applyFont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0" xfId="0" applyFill="1"/>
    <xf numFmtId="164" fontId="0" fillId="2" borderId="0" xfId="0" applyNumberFormat="1" applyFill="1"/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0" fillId="2" borderId="0" xfId="1" applyNumberFormat="1" applyFont="1" applyFill="1"/>
    <xf numFmtId="164" fontId="0" fillId="3" borderId="0" xfId="1" applyNumberFormat="1" applyFont="1" applyFill="1"/>
    <xf numFmtId="0" fontId="0" fillId="3" borderId="0" xfId="0" applyFill="1"/>
    <xf numFmtId="164" fontId="0" fillId="4" borderId="0" xfId="1" applyNumberFormat="1" applyFont="1" applyFill="1"/>
    <xf numFmtId="0" fontId="0" fillId="4" borderId="0" xfId="0" applyFill="1"/>
    <xf numFmtId="164" fontId="0" fillId="5" borderId="0" xfId="1" applyNumberFormat="1" applyFont="1" applyFill="1"/>
    <xf numFmtId="0" fontId="0" fillId="5" borderId="0" xfId="0" applyFill="1"/>
    <xf numFmtId="164" fontId="0" fillId="6" borderId="0" xfId="1" applyNumberFormat="1" applyFont="1" applyFill="1"/>
    <xf numFmtId="0" fontId="0" fillId="6" borderId="0" xfId="0" applyFill="1"/>
    <xf numFmtId="164" fontId="0" fillId="7" borderId="0" xfId="0" applyNumberFormat="1" applyFill="1"/>
    <xf numFmtId="0" fontId="0" fillId="7" borderId="0" xfId="0" applyFill="1"/>
    <xf numFmtId="0" fontId="0" fillId="8" borderId="0" xfId="0" applyFill="1"/>
    <xf numFmtId="164" fontId="2" fillId="9" borderId="0" xfId="1" applyNumberFormat="1" applyFont="1" applyFill="1"/>
    <xf numFmtId="164" fontId="0" fillId="9" borderId="0" xfId="0" applyNumberFormat="1" applyFill="1"/>
    <xf numFmtId="0" fontId="0" fillId="9" borderId="0" xfId="0" applyFill="1"/>
    <xf numFmtId="43" fontId="0" fillId="8" borderId="0" xfId="1" applyNumberFormat="1" applyFont="1" applyFill="1"/>
    <xf numFmtId="43" fontId="0" fillId="0" borderId="1" xfId="0" applyNumberFormat="1" applyBorder="1"/>
    <xf numFmtId="43" fontId="0" fillId="10" borderId="0" xfId="0" applyNumberFormat="1" applyFill="1"/>
    <xf numFmtId="43" fontId="2" fillId="0" borderId="0" xfId="0" applyNumberFormat="1" applyFont="1"/>
    <xf numFmtId="0" fontId="0" fillId="11" borderId="0" xfId="0" applyFill="1"/>
    <xf numFmtId="43" fontId="0" fillId="11" borderId="0" xfId="0" applyNumberFormat="1" applyFill="1"/>
    <xf numFmtId="0" fontId="0" fillId="0" borderId="0" xfId="0" applyAlignment="1">
      <alignment horizontal="center"/>
    </xf>
    <xf numFmtId="43" fontId="0" fillId="10" borderId="0" xfId="1" applyNumberFormat="1" applyFont="1" applyFill="1"/>
    <xf numFmtId="43" fontId="0" fillId="10" borderId="1" xfId="1" applyNumberFormat="1" applyFont="1" applyFill="1" applyBorder="1"/>
    <xf numFmtId="0" fontId="3" fillId="0" borderId="0" xfId="0" applyFont="1"/>
    <xf numFmtId="165" fontId="0" fillId="0" borderId="0" xfId="1" applyNumberFormat="1" applyFont="1"/>
    <xf numFmtId="165" fontId="0" fillId="0" borderId="0" xfId="0" applyNumberFormat="1"/>
    <xf numFmtId="164" fontId="0" fillId="0" borderId="2" xfId="1" applyNumberFormat="1" applyFont="1" applyBorder="1"/>
    <xf numFmtId="0" fontId="4" fillId="0" borderId="0" xfId="0" applyFont="1" applyAlignment="1">
      <alignment vertical="center"/>
    </xf>
    <xf numFmtId="164" fontId="0" fillId="0" borderId="1" xfId="0" applyNumberFormat="1" applyBorder="1" applyAlignment="1">
      <alignment horizontal="center"/>
    </xf>
    <xf numFmtId="2" fontId="0" fillId="0" borderId="0" xfId="0" applyNumberFormat="1"/>
    <xf numFmtId="0" fontId="5" fillId="0" borderId="0" xfId="0" applyFont="1"/>
    <xf numFmtId="0" fontId="5" fillId="0" borderId="0" xfId="0" applyFont="1" applyAlignment="1">
      <alignment vertic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workbookViewId="0">
      <selection sqref="A1:XFD1"/>
    </sheetView>
  </sheetViews>
  <sheetFormatPr baseColWidth="10" defaultRowHeight="15" x14ac:dyDescent="0.25"/>
  <cols>
    <col min="1" max="1" width="55.28515625" bestFit="1" customWidth="1"/>
    <col min="2" max="2" width="12.7109375" bestFit="1" customWidth="1"/>
  </cols>
  <sheetData>
    <row r="1" spans="1:2" s="6" customFormat="1" x14ac:dyDescent="0.25">
      <c r="A1" s="6" t="s">
        <v>0</v>
      </c>
    </row>
    <row r="2" spans="1:2" x14ac:dyDescent="0.25">
      <c r="A2" t="s">
        <v>14</v>
      </c>
      <c r="B2" s="1">
        <v>2000000</v>
      </c>
    </row>
    <row r="3" spans="1:2" x14ac:dyDescent="0.25">
      <c r="A3" t="s">
        <v>1</v>
      </c>
      <c r="B3" s="1">
        <v>8000000</v>
      </c>
    </row>
    <row r="4" spans="1:2" x14ac:dyDescent="0.25">
      <c r="A4" t="s">
        <v>2</v>
      </c>
      <c r="B4" s="1">
        <v>9000000</v>
      </c>
    </row>
    <row r="5" spans="1:2" x14ac:dyDescent="0.25">
      <c r="B5" s="1"/>
    </row>
    <row r="6" spans="1:2" x14ac:dyDescent="0.25">
      <c r="A6" t="s">
        <v>15</v>
      </c>
      <c r="B6" s="2">
        <f>B2/B3</f>
        <v>0.25</v>
      </c>
    </row>
    <row r="7" spans="1:2" x14ac:dyDescent="0.25">
      <c r="A7" s="6" t="s">
        <v>16</v>
      </c>
      <c r="B7" s="7">
        <f>B4*B6</f>
        <v>2250000</v>
      </c>
    </row>
    <row r="9" spans="1:2" s="6" customFormat="1" x14ac:dyDescent="0.25">
      <c r="A9" s="6" t="s">
        <v>3</v>
      </c>
    </row>
    <row r="10" spans="1:2" x14ac:dyDescent="0.25">
      <c r="A10" t="s">
        <v>17</v>
      </c>
      <c r="B10" s="4">
        <f>B7</f>
        <v>2250000</v>
      </c>
    </row>
    <row r="11" spans="1:2" x14ac:dyDescent="0.25">
      <c r="A11" t="s">
        <v>18</v>
      </c>
      <c r="B11" s="1">
        <v>2000000</v>
      </c>
    </row>
    <row r="12" spans="1:2" x14ac:dyDescent="0.25">
      <c r="A12" t="s">
        <v>19</v>
      </c>
      <c r="B12" s="4">
        <f>B10-B11</f>
        <v>250000</v>
      </c>
    </row>
    <row r="14" spans="1:2" x14ac:dyDescent="0.25">
      <c r="A14" s="6" t="s">
        <v>20</v>
      </c>
      <c r="B14" s="7">
        <f>B12*22/100</f>
        <v>55000</v>
      </c>
    </row>
    <row r="16" spans="1:2" s="6" customFormat="1" x14ac:dyDescent="0.25">
      <c r="A16" s="6" t="s">
        <v>5</v>
      </c>
    </row>
    <row r="17" spans="1:2" x14ac:dyDescent="0.25">
      <c r="A17" t="s">
        <v>21</v>
      </c>
      <c r="B17" s="1">
        <v>5000000</v>
      </c>
    </row>
    <row r="18" spans="1:2" x14ac:dyDescent="0.25">
      <c r="A18" t="s">
        <v>6</v>
      </c>
      <c r="B18" s="1">
        <v>3000000</v>
      </c>
    </row>
    <row r="19" spans="1:2" x14ac:dyDescent="0.25">
      <c r="A19" t="s">
        <v>21</v>
      </c>
      <c r="B19" s="5">
        <f>B2</f>
        <v>2000000</v>
      </c>
    </row>
    <row r="20" spans="1:2" x14ac:dyDescent="0.25">
      <c r="A20" t="s">
        <v>7</v>
      </c>
      <c r="B20" s="4">
        <f>SUM(B17:B19)</f>
        <v>10000000</v>
      </c>
    </row>
    <row r="22" spans="1:2" x14ac:dyDescent="0.25">
      <c r="A22" t="s">
        <v>9</v>
      </c>
      <c r="B22" s="4">
        <f>B20-B4</f>
        <v>1000000</v>
      </c>
    </row>
    <row r="24" spans="1:2" x14ac:dyDescent="0.25">
      <c r="A24" t="s">
        <v>22</v>
      </c>
      <c r="B24" s="2">
        <f>(B17+B19)/B20</f>
        <v>0.7</v>
      </c>
    </row>
    <row r="25" spans="1:2" x14ac:dyDescent="0.25">
      <c r="A25" t="s">
        <v>23</v>
      </c>
      <c r="B25" s="4">
        <f>B4*B24</f>
        <v>6300000</v>
      </c>
    </row>
    <row r="26" spans="1:2" x14ac:dyDescent="0.25">
      <c r="A26" t="s">
        <v>24</v>
      </c>
      <c r="B26" s="5">
        <f>B7</f>
        <v>2250000</v>
      </c>
    </row>
    <row r="27" spans="1:2" x14ac:dyDescent="0.25">
      <c r="A27" s="6" t="s">
        <v>25</v>
      </c>
      <c r="B27" s="7">
        <f>B25-B26</f>
        <v>4050000</v>
      </c>
    </row>
    <row r="29" spans="1:2" s="6" customFormat="1" x14ac:dyDescent="0.25">
      <c r="A29" s="6" t="s">
        <v>8</v>
      </c>
    </row>
    <row r="30" spans="1:2" x14ac:dyDescent="0.25">
      <c r="A30" t="s">
        <v>31</v>
      </c>
      <c r="B30" s="4">
        <f>B22</f>
        <v>1000000</v>
      </c>
    </row>
    <row r="31" spans="1:2" x14ac:dyDescent="0.25">
      <c r="A31" t="s">
        <v>10</v>
      </c>
      <c r="B31" s="4">
        <f>B30*70/100</f>
        <v>700000</v>
      </c>
    </row>
    <row r="32" spans="1:2" x14ac:dyDescent="0.25">
      <c r="A32" s="6" t="s">
        <v>32</v>
      </c>
      <c r="B32" s="7">
        <f>B30-B31</f>
        <v>300000</v>
      </c>
    </row>
    <row r="34" spans="1:2" s="6" customFormat="1" x14ac:dyDescent="0.25">
      <c r="A34" s="6" t="s">
        <v>11</v>
      </c>
    </row>
    <row r="35" spans="1:2" x14ac:dyDescent="0.25">
      <c r="A35" t="s">
        <v>12</v>
      </c>
    </row>
    <row r="36" spans="1:2" x14ac:dyDescent="0.25">
      <c r="A36" t="s">
        <v>26</v>
      </c>
      <c r="B36" s="4">
        <f>B7</f>
        <v>2250000</v>
      </c>
    </row>
    <row r="37" spans="1:2" x14ac:dyDescent="0.25">
      <c r="A37" t="s">
        <v>27</v>
      </c>
      <c r="B37" s="4">
        <f>B27</f>
        <v>4050000</v>
      </c>
    </row>
    <row r="38" spans="1:2" x14ac:dyDescent="0.25">
      <c r="A38" t="s">
        <v>33</v>
      </c>
      <c r="B38" s="5">
        <f>-B32</f>
        <v>-300000</v>
      </c>
    </row>
    <row r="39" spans="1:2" x14ac:dyDescent="0.25">
      <c r="A39" s="6" t="s">
        <v>34</v>
      </c>
      <c r="B39" s="7">
        <f>SUM(B36:B38)</f>
        <v>6000000</v>
      </c>
    </row>
    <row r="40" spans="1:2" x14ac:dyDescent="0.25">
      <c r="B40" s="4"/>
    </row>
    <row r="41" spans="1:2" s="6" customFormat="1" x14ac:dyDescent="0.25">
      <c r="A41" s="6" t="s">
        <v>13</v>
      </c>
    </row>
    <row r="42" spans="1:2" x14ac:dyDescent="0.25">
      <c r="A42" t="s">
        <v>28</v>
      </c>
      <c r="B42" s="4">
        <f>B4-B25</f>
        <v>2700000</v>
      </c>
    </row>
    <row r="43" spans="1:2" x14ac:dyDescent="0.25">
      <c r="A43" t="s">
        <v>29</v>
      </c>
      <c r="B43" s="1">
        <v>2500000</v>
      </c>
    </row>
    <row r="44" spans="1:2" x14ac:dyDescent="0.25">
      <c r="A44" t="s">
        <v>30</v>
      </c>
      <c r="B44" s="5">
        <f>-B38</f>
        <v>300000</v>
      </c>
    </row>
    <row r="45" spans="1:2" x14ac:dyDescent="0.25">
      <c r="A45" s="6" t="s">
        <v>35</v>
      </c>
      <c r="B45" s="7">
        <f>B42-B43+B44</f>
        <v>500000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topLeftCell="A18" workbookViewId="0">
      <selection activeCell="A31" sqref="A31"/>
    </sheetView>
  </sheetViews>
  <sheetFormatPr baseColWidth="10" defaultRowHeight="15" x14ac:dyDescent="0.25"/>
  <cols>
    <col min="2" max="2" width="12.7109375" bestFit="1" customWidth="1"/>
    <col min="4" max="4" width="12.7109375" bestFit="1" customWidth="1"/>
  </cols>
  <sheetData>
    <row r="1" spans="1:8" s="6" customFormat="1" x14ac:dyDescent="0.25">
      <c r="A1" s="6" t="s">
        <v>0</v>
      </c>
    </row>
    <row r="2" spans="1:8" x14ac:dyDescent="0.25">
      <c r="A2" t="s">
        <v>42</v>
      </c>
      <c r="D2" s="1">
        <v>800000</v>
      </c>
    </row>
    <row r="4" spans="1:8" x14ac:dyDescent="0.25">
      <c r="A4" t="s">
        <v>74</v>
      </c>
    </row>
    <row r="6" spans="1:8" x14ac:dyDescent="0.25">
      <c r="B6" s="9">
        <v>44197</v>
      </c>
      <c r="C6" s="6"/>
      <c r="D6" s="9">
        <v>44561</v>
      </c>
      <c r="E6" s="6" t="s">
        <v>38</v>
      </c>
    </row>
    <row r="7" spans="1:8" x14ac:dyDescent="0.25">
      <c r="A7" s="6" t="s">
        <v>36</v>
      </c>
    </row>
    <row r="8" spans="1:8" x14ac:dyDescent="0.25">
      <c r="A8" s="6" t="s">
        <v>37</v>
      </c>
      <c r="B8" s="8"/>
      <c r="D8" s="8"/>
    </row>
    <row r="9" spans="1:8" x14ac:dyDescent="0.25">
      <c r="A9" s="6"/>
      <c r="B9" s="1">
        <v>2000000</v>
      </c>
      <c r="C9" s="1"/>
      <c r="D9" s="1">
        <f>D11/0.22</f>
        <v>2500000</v>
      </c>
      <c r="E9" s="1">
        <f>B9-D9</f>
        <v>-500000</v>
      </c>
    </row>
    <row r="10" spans="1:8" x14ac:dyDescent="0.25">
      <c r="A10" s="6"/>
      <c r="B10" s="1"/>
      <c r="C10" s="1"/>
      <c r="D10" s="1"/>
      <c r="E10" s="1"/>
    </row>
    <row r="11" spans="1:8" x14ac:dyDescent="0.25">
      <c r="A11" s="6" t="s">
        <v>4</v>
      </c>
      <c r="B11" s="1">
        <f>B9*22/100</f>
        <v>440000</v>
      </c>
      <c r="C11" s="1"/>
      <c r="D11" s="1">
        <v>550000</v>
      </c>
      <c r="E11" s="1">
        <f>D11-B11</f>
        <v>110000</v>
      </c>
    </row>
    <row r="12" spans="1:8" x14ac:dyDescent="0.25">
      <c r="H12" s="4"/>
    </row>
    <row r="13" spans="1:8" x14ac:dyDescent="0.25">
      <c r="A13" t="s">
        <v>39</v>
      </c>
    </row>
    <row r="14" spans="1:8" x14ac:dyDescent="0.25">
      <c r="A14" t="s">
        <v>40</v>
      </c>
      <c r="D14" s="4">
        <f>D2</f>
        <v>800000</v>
      </c>
    </row>
    <row r="15" spans="1:8" x14ac:dyDescent="0.25">
      <c r="A15" t="s">
        <v>75</v>
      </c>
      <c r="D15" s="5">
        <f>E9</f>
        <v>-500000</v>
      </c>
    </row>
    <row r="16" spans="1:8" x14ac:dyDescent="0.25">
      <c r="A16" s="6" t="s">
        <v>41</v>
      </c>
      <c r="B16" s="6"/>
      <c r="C16" s="6"/>
      <c r="D16" s="7">
        <f>SUM(D14:D15)</f>
        <v>300000</v>
      </c>
    </row>
    <row r="18" spans="1:4" x14ac:dyDescent="0.25">
      <c r="A18" s="6" t="s">
        <v>3</v>
      </c>
    </row>
    <row r="19" spans="1:4" x14ac:dyDescent="0.25">
      <c r="A19" t="s">
        <v>41</v>
      </c>
      <c r="D19" s="4">
        <f>D16</f>
        <v>300000</v>
      </c>
    </row>
    <row r="21" spans="1:4" x14ac:dyDescent="0.25">
      <c r="A21" s="6" t="s">
        <v>43</v>
      </c>
      <c r="B21" s="6"/>
      <c r="C21" s="6"/>
      <c r="D21" s="7">
        <f>D19*22/100</f>
        <v>66000</v>
      </c>
    </row>
    <row r="23" spans="1:4" x14ac:dyDescent="0.25">
      <c r="A23" s="6" t="s">
        <v>5</v>
      </c>
    </row>
    <row r="24" spans="1:4" x14ac:dyDescent="0.25">
      <c r="A24" t="s">
        <v>45</v>
      </c>
    </row>
    <row r="25" spans="1:4" x14ac:dyDescent="0.25">
      <c r="A25" s="10" t="s">
        <v>43</v>
      </c>
      <c r="D25" s="4">
        <f>D21</f>
        <v>66000</v>
      </c>
    </row>
    <row r="26" spans="1:4" x14ac:dyDescent="0.25">
      <c r="A26" t="s">
        <v>46</v>
      </c>
      <c r="D26" s="5">
        <f>E11</f>
        <v>110000</v>
      </c>
    </row>
    <row r="27" spans="1:4" x14ac:dyDescent="0.25">
      <c r="A27" s="6" t="s">
        <v>47</v>
      </c>
      <c r="D27" s="7">
        <f>SUM(D25:D26)</f>
        <v>176000</v>
      </c>
    </row>
    <row r="29" spans="1:4" x14ac:dyDescent="0.25">
      <c r="A29" s="6" t="s">
        <v>8</v>
      </c>
    </row>
    <row r="30" spans="1:4" x14ac:dyDescent="0.25">
      <c r="A30" t="s">
        <v>40</v>
      </c>
      <c r="D30" s="4">
        <f>D2</f>
        <v>800000</v>
      </c>
    </row>
    <row r="31" spans="1:4" x14ac:dyDescent="0.25">
      <c r="A31" t="s">
        <v>75</v>
      </c>
      <c r="D31" s="11">
        <f>E9</f>
        <v>-500000</v>
      </c>
    </row>
    <row r="32" spans="1:4" x14ac:dyDescent="0.25">
      <c r="A32" t="s">
        <v>48</v>
      </c>
      <c r="D32" s="5">
        <v>50000</v>
      </c>
    </row>
    <row r="33" spans="1:4" x14ac:dyDescent="0.25">
      <c r="A33" s="6" t="s">
        <v>41</v>
      </c>
      <c r="B33" s="6"/>
      <c r="C33" s="6"/>
      <c r="D33" s="7">
        <f>SUM(D30:D32)</f>
        <v>350000</v>
      </c>
    </row>
    <row r="35" spans="1:4" x14ac:dyDescent="0.25">
      <c r="A35" s="6" t="s">
        <v>11</v>
      </c>
    </row>
    <row r="36" spans="1:4" x14ac:dyDescent="0.25">
      <c r="A36" t="s">
        <v>41</v>
      </c>
      <c r="D36" s="4">
        <f>D33</f>
        <v>350000</v>
      </c>
    </row>
    <row r="38" spans="1:4" x14ac:dyDescent="0.25">
      <c r="A38" s="6" t="s">
        <v>43</v>
      </c>
      <c r="B38" s="6"/>
      <c r="C38" s="6"/>
      <c r="D38" s="7">
        <f>D36*22/100</f>
        <v>77000</v>
      </c>
    </row>
    <row r="40" spans="1:4" x14ac:dyDescent="0.25">
      <c r="A40" s="6" t="s">
        <v>13</v>
      </c>
    </row>
    <row r="41" spans="1:4" x14ac:dyDescent="0.25">
      <c r="A41" t="s">
        <v>45</v>
      </c>
    </row>
    <row r="42" spans="1:4" x14ac:dyDescent="0.25">
      <c r="A42" s="10" t="s">
        <v>43</v>
      </c>
      <c r="D42" s="4">
        <f>D38</f>
        <v>77000</v>
      </c>
    </row>
    <row r="43" spans="1:4" x14ac:dyDescent="0.25">
      <c r="A43" t="s">
        <v>46</v>
      </c>
      <c r="D43" s="5">
        <f>E11</f>
        <v>110000</v>
      </c>
    </row>
    <row r="44" spans="1:4" x14ac:dyDescent="0.25">
      <c r="A44" s="6" t="s">
        <v>47</v>
      </c>
      <c r="D44" s="7">
        <f>SUM(D42:D43)</f>
        <v>187000</v>
      </c>
    </row>
    <row r="46" spans="1:4" x14ac:dyDescent="0.25">
      <c r="A46" s="6" t="s">
        <v>49</v>
      </c>
    </row>
    <row r="47" spans="1:4" x14ac:dyDescent="0.25">
      <c r="A47" t="s">
        <v>45</v>
      </c>
    </row>
    <row r="48" spans="1:4" x14ac:dyDescent="0.25">
      <c r="A48" s="10" t="s">
        <v>43</v>
      </c>
      <c r="D48" s="4">
        <f>D38</f>
        <v>77000</v>
      </c>
    </row>
    <row r="49" spans="1:4" x14ac:dyDescent="0.25">
      <c r="A49" t="s">
        <v>46</v>
      </c>
      <c r="D49" s="1">
        <f>E11</f>
        <v>110000</v>
      </c>
    </row>
    <row r="50" spans="1:4" x14ac:dyDescent="0.25">
      <c r="A50" t="s">
        <v>52</v>
      </c>
      <c r="D50" s="5">
        <f>80000-75000</f>
        <v>5000</v>
      </c>
    </row>
    <row r="51" spans="1:4" x14ac:dyDescent="0.25">
      <c r="A51" s="6" t="s">
        <v>47</v>
      </c>
      <c r="D51" s="7">
        <f>SUM(D48:D50)</f>
        <v>192000</v>
      </c>
    </row>
    <row r="53" spans="1:4" x14ac:dyDescent="0.25">
      <c r="A53" s="6" t="s">
        <v>50</v>
      </c>
    </row>
    <row r="54" spans="1:4" x14ac:dyDescent="0.25">
      <c r="A54" s="6" t="s">
        <v>51</v>
      </c>
      <c r="B54" s="6"/>
      <c r="C54" s="6"/>
      <c r="D54" s="12">
        <v>80000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7"/>
  <sheetViews>
    <sheetView topLeftCell="A51" workbookViewId="0">
      <selection activeCell="H59" sqref="H59"/>
    </sheetView>
  </sheetViews>
  <sheetFormatPr baseColWidth="10" defaultRowHeight="15" x14ac:dyDescent="0.25"/>
  <cols>
    <col min="2" max="2" width="24.85546875" bestFit="1" customWidth="1"/>
    <col min="11" max="11" width="27.7109375" customWidth="1"/>
  </cols>
  <sheetData>
    <row r="1" spans="2:11" x14ac:dyDescent="0.25">
      <c r="G1" s="6" t="s">
        <v>0</v>
      </c>
    </row>
    <row r="2" spans="2:11" x14ac:dyDescent="0.25">
      <c r="G2" t="s">
        <v>76</v>
      </c>
    </row>
    <row r="4" spans="2:11" x14ac:dyDescent="0.25">
      <c r="I4" s="14" t="s">
        <v>77</v>
      </c>
      <c r="J4" s="14" t="s">
        <v>78</v>
      </c>
      <c r="K4" s="14" t="s">
        <v>79</v>
      </c>
    </row>
    <row r="5" spans="2:11" x14ac:dyDescent="0.25">
      <c r="I5" s="15">
        <v>1</v>
      </c>
      <c r="J5" s="15">
        <v>0.8</v>
      </c>
      <c r="K5" s="15">
        <v>0.2</v>
      </c>
    </row>
    <row r="6" spans="2:11" x14ac:dyDescent="0.25">
      <c r="G6" t="s">
        <v>80</v>
      </c>
      <c r="I6" s="4">
        <f>E24+E26</f>
        <v>700</v>
      </c>
      <c r="J6" s="4">
        <f>I6*$J$5</f>
        <v>560</v>
      </c>
      <c r="K6" s="4">
        <f>I6*$K$5</f>
        <v>140</v>
      </c>
    </row>
    <row r="7" spans="2:11" x14ac:dyDescent="0.25">
      <c r="G7" t="s">
        <v>81</v>
      </c>
      <c r="I7">
        <v>450</v>
      </c>
      <c r="J7" s="4">
        <f t="shared" ref="J7:J9" si="0">I7*$J$5</f>
        <v>360</v>
      </c>
      <c r="K7" s="4">
        <f t="shared" ref="K7:K9" si="1">I7*$K$5</f>
        <v>90</v>
      </c>
    </row>
    <row r="8" spans="2:11" x14ac:dyDescent="0.25">
      <c r="G8" t="s">
        <v>82</v>
      </c>
      <c r="I8">
        <v>50</v>
      </c>
      <c r="J8" s="4">
        <f t="shared" si="0"/>
        <v>40</v>
      </c>
      <c r="K8" s="4">
        <f t="shared" si="1"/>
        <v>10</v>
      </c>
    </row>
    <row r="9" spans="2:11" x14ac:dyDescent="0.25">
      <c r="G9" t="s">
        <v>4</v>
      </c>
      <c r="I9" s="8">
        <f>-(I7+I8)*22/100</f>
        <v>-110</v>
      </c>
      <c r="J9" s="5">
        <f t="shared" si="0"/>
        <v>-88</v>
      </c>
      <c r="K9" s="5">
        <f t="shared" si="1"/>
        <v>-22</v>
      </c>
    </row>
    <row r="10" spans="2:11" x14ac:dyDescent="0.25">
      <c r="G10" t="s">
        <v>83</v>
      </c>
      <c r="I10" s="4">
        <f>SUM(I6:I9)</f>
        <v>1090</v>
      </c>
      <c r="J10" s="4">
        <f>SUM(J6:J9)</f>
        <v>872</v>
      </c>
      <c r="K10" s="4">
        <f>SUM(K6:K9)</f>
        <v>218</v>
      </c>
    </row>
    <row r="11" spans="2:11" x14ac:dyDescent="0.25">
      <c r="G11" t="s">
        <v>84</v>
      </c>
      <c r="J11" s="4">
        <f>D19</f>
        <v>1250</v>
      </c>
    </row>
    <row r="12" spans="2:11" x14ac:dyDescent="0.25">
      <c r="G12" t="s">
        <v>85</v>
      </c>
      <c r="J12" s="4">
        <f>J11-J10</f>
        <v>378</v>
      </c>
    </row>
    <row r="13" spans="2:11" x14ac:dyDescent="0.25">
      <c r="J13" s="4"/>
    </row>
    <row r="14" spans="2:11" x14ac:dyDescent="0.25">
      <c r="G14" s="6" t="s">
        <v>3</v>
      </c>
      <c r="J14" s="4"/>
    </row>
    <row r="15" spans="2:11" x14ac:dyDescent="0.25">
      <c r="G15" s="59" t="s">
        <v>86</v>
      </c>
      <c r="H15" s="59"/>
      <c r="I15" s="6" t="s">
        <v>89</v>
      </c>
      <c r="J15" s="4"/>
    </row>
    <row r="16" spans="2:11" ht="13.9" customHeight="1" x14ac:dyDescent="0.25">
      <c r="B16" s="6" t="s">
        <v>71</v>
      </c>
      <c r="D16" s="14" t="s">
        <v>59</v>
      </c>
      <c r="E16" s="14" t="s">
        <v>60</v>
      </c>
      <c r="G16" s="14" t="s">
        <v>87</v>
      </c>
      <c r="H16" s="14" t="s">
        <v>88</v>
      </c>
    </row>
    <row r="17" spans="2:13" ht="13.9" customHeight="1" x14ac:dyDescent="0.25">
      <c r="B17" s="10" t="s">
        <v>85</v>
      </c>
      <c r="D17" s="14"/>
      <c r="E17" s="14"/>
      <c r="G17" s="18">
        <f>J12</f>
        <v>378</v>
      </c>
      <c r="H17" s="14"/>
      <c r="I17" s="4">
        <f>D17+E17+G17-H17</f>
        <v>378</v>
      </c>
      <c r="K17" s="19" t="s">
        <v>91</v>
      </c>
      <c r="L17" s="19"/>
      <c r="M17" s="19"/>
    </row>
    <row r="18" spans="2:13" x14ac:dyDescent="0.25">
      <c r="B18" t="s">
        <v>53</v>
      </c>
      <c r="D18" s="1">
        <v>5000</v>
      </c>
      <c r="E18" s="1">
        <v>4000</v>
      </c>
      <c r="G18" s="19">
        <f>I7</f>
        <v>450</v>
      </c>
      <c r="I18" s="4">
        <f t="shared" ref="I18:I21" si="2">D18+E18+G18-H18</f>
        <v>9450</v>
      </c>
    </row>
    <row r="19" spans="2:13" x14ac:dyDescent="0.25">
      <c r="B19" t="s">
        <v>54</v>
      </c>
      <c r="D19" s="1">
        <v>1250</v>
      </c>
      <c r="E19" s="1"/>
      <c r="H19" s="20">
        <f>J11</f>
        <v>1250</v>
      </c>
      <c r="I19" s="4">
        <f t="shared" si="2"/>
        <v>0</v>
      </c>
    </row>
    <row r="20" spans="2:13" x14ac:dyDescent="0.25">
      <c r="B20" t="s">
        <v>66</v>
      </c>
      <c r="D20" s="1">
        <v>1000</v>
      </c>
      <c r="E20" s="1">
        <v>500</v>
      </c>
      <c r="G20" s="19">
        <f>I8</f>
        <v>50</v>
      </c>
      <c r="I20" s="4">
        <f t="shared" si="2"/>
        <v>1550</v>
      </c>
    </row>
    <row r="21" spans="2:13" x14ac:dyDescent="0.25">
      <c r="B21" t="s">
        <v>72</v>
      </c>
      <c r="D21" s="13">
        <v>1500</v>
      </c>
      <c r="E21" s="13">
        <v>1000</v>
      </c>
      <c r="I21" s="5">
        <f t="shared" si="2"/>
        <v>2500</v>
      </c>
    </row>
    <row r="22" spans="2:13" x14ac:dyDescent="0.25">
      <c r="B22" s="6" t="s">
        <v>55</v>
      </c>
      <c r="C22" s="6"/>
      <c r="D22" s="12">
        <f>SUM(D18:D21)</f>
        <v>8750</v>
      </c>
      <c r="E22" s="12">
        <f>SUM(E18:E21)</f>
        <v>5500</v>
      </c>
      <c r="I22" s="7">
        <f>SUM(I17:I21)</f>
        <v>13878</v>
      </c>
    </row>
    <row r="23" spans="2:13" x14ac:dyDescent="0.25">
      <c r="D23" s="1"/>
      <c r="E23" s="1"/>
    </row>
    <row r="24" spans="2:13" x14ac:dyDescent="0.25">
      <c r="B24" t="s">
        <v>56</v>
      </c>
      <c r="D24" s="1">
        <v>3000</v>
      </c>
      <c r="E24" s="1">
        <v>500</v>
      </c>
      <c r="G24" s="20">
        <f>E24</f>
        <v>500</v>
      </c>
      <c r="I24" s="4">
        <f>D24+E24-G24+H24</f>
        <v>3000</v>
      </c>
    </row>
    <row r="25" spans="2:13" x14ac:dyDescent="0.25">
      <c r="B25" t="s">
        <v>90</v>
      </c>
      <c r="D25" s="1"/>
      <c r="E25" s="1"/>
      <c r="H25" s="20">
        <f>K10</f>
        <v>218</v>
      </c>
      <c r="I25" s="4">
        <f t="shared" ref="I25:I28" si="3">D25+E25-G25+H25</f>
        <v>218</v>
      </c>
    </row>
    <row r="26" spans="2:13" x14ac:dyDescent="0.25">
      <c r="B26" t="s">
        <v>57</v>
      </c>
      <c r="D26" s="1">
        <v>500</v>
      </c>
      <c r="E26" s="1">
        <v>200</v>
      </c>
      <c r="G26" s="20">
        <f>E26</f>
        <v>200</v>
      </c>
      <c r="I26" s="4">
        <f t="shared" si="3"/>
        <v>500</v>
      </c>
    </row>
    <row r="27" spans="2:13" x14ac:dyDescent="0.25">
      <c r="B27" t="s">
        <v>4</v>
      </c>
      <c r="D27" s="1"/>
      <c r="E27" s="1"/>
      <c r="H27" s="19">
        <f>-I9</f>
        <v>110</v>
      </c>
      <c r="I27" s="4">
        <f t="shared" si="3"/>
        <v>110</v>
      </c>
    </row>
    <row r="28" spans="2:13" x14ac:dyDescent="0.25">
      <c r="B28" t="s">
        <v>58</v>
      </c>
      <c r="D28" s="13">
        <v>5250</v>
      </c>
      <c r="E28" s="13">
        <v>4800</v>
      </c>
      <c r="G28" s="8"/>
      <c r="H28" s="8"/>
      <c r="I28" s="5">
        <f t="shared" si="3"/>
        <v>10050</v>
      </c>
    </row>
    <row r="29" spans="2:13" x14ac:dyDescent="0.25">
      <c r="B29" s="6" t="s">
        <v>73</v>
      </c>
      <c r="C29" s="6"/>
      <c r="D29" s="12">
        <f>SUM(D24:D28)</f>
        <v>8750</v>
      </c>
      <c r="E29" s="12">
        <f>SUM(E24:E28)</f>
        <v>5500</v>
      </c>
      <c r="G29" s="7">
        <f>SUM(G17:G28)</f>
        <v>1578</v>
      </c>
      <c r="H29" s="7">
        <f>SUM(H17:H28)</f>
        <v>1578</v>
      </c>
      <c r="I29" s="7">
        <f>SUM(I24:I28)</f>
        <v>13878</v>
      </c>
    </row>
    <row r="31" spans="2:13" x14ac:dyDescent="0.25">
      <c r="G31" s="6" t="s">
        <v>5</v>
      </c>
      <c r="K31" s="6"/>
    </row>
    <row r="32" spans="2:13" x14ac:dyDescent="0.25">
      <c r="G32" s="59" t="s">
        <v>86</v>
      </c>
      <c r="H32" s="59"/>
      <c r="I32" s="6" t="s">
        <v>89</v>
      </c>
      <c r="J32" s="4"/>
    </row>
    <row r="33" spans="1:13" x14ac:dyDescent="0.25">
      <c r="G33" s="14" t="s">
        <v>87</v>
      </c>
      <c r="H33" s="14" t="s">
        <v>88</v>
      </c>
    </row>
    <row r="34" spans="1:13" x14ac:dyDescent="0.25">
      <c r="B34" s="6" t="s">
        <v>69</v>
      </c>
      <c r="D34" s="14" t="s">
        <v>59</v>
      </c>
      <c r="E34" s="14" t="s">
        <v>60</v>
      </c>
      <c r="K34" s="19" t="s">
        <v>91</v>
      </c>
      <c r="L34" s="19"/>
      <c r="M34" s="19"/>
    </row>
    <row r="35" spans="1:13" x14ac:dyDescent="0.25">
      <c r="B35" t="s">
        <v>61</v>
      </c>
      <c r="D35" s="1">
        <v>6000</v>
      </c>
      <c r="E35" s="1">
        <v>5500</v>
      </c>
      <c r="G35" s="28">
        <v>800</v>
      </c>
      <c r="H35" s="1"/>
      <c r="I35" s="4">
        <f>D35+E35-G35</f>
        <v>10700</v>
      </c>
      <c r="K35" s="25" t="s">
        <v>93</v>
      </c>
      <c r="L35" s="25"/>
      <c r="M35" s="25"/>
    </row>
    <row r="36" spans="1:13" x14ac:dyDescent="0.25">
      <c r="B36" t="s">
        <v>62</v>
      </c>
      <c r="D36" s="1">
        <v>4100</v>
      </c>
      <c r="E36" s="1">
        <v>3500</v>
      </c>
      <c r="G36" s="30">
        <f>800-725</f>
        <v>75</v>
      </c>
      <c r="H36" s="28">
        <f>G35</f>
        <v>800</v>
      </c>
      <c r="I36" s="4">
        <f>D36+E36+G36-H36+G37</f>
        <v>6925</v>
      </c>
      <c r="K36" s="27" t="s">
        <v>94</v>
      </c>
      <c r="L36" s="27"/>
      <c r="M36" s="27"/>
    </row>
    <row r="37" spans="1:13" x14ac:dyDescent="0.25">
      <c r="D37" s="1"/>
      <c r="E37" s="1"/>
      <c r="G37" s="32">
        <f>H49</f>
        <v>50</v>
      </c>
      <c r="K37" s="29" t="s">
        <v>95</v>
      </c>
      <c r="L37" s="29"/>
      <c r="M37" s="29"/>
    </row>
    <row r="38" spans="1:13" x14ac:dyDescent="0.25">
      <c r="B38" t="s">
        <v>92</v>
      </c>
      <c r="D38" s="1"/>
      <c r="E38" s="1"/>
      <c r="G38" s="24">
        <f>H45</f>
        <v>126</v>
      </c>
      <c r="H38" s="1"/>
      <c r="I38" s="4">
        <f>G38</f>
        <v>126</v>
      </c>
      <c r="K38" s="31" t="s">
        <v>96</v>
      </c>
      <c r="L38" s="31"/>
      <c r="M38" s="31"/>
    </row>
    <row r="39" spans="1:13" x14ac:dyDescent="0.25">
      <c r="B39" t="s">
        <v>63</v>
      </c>
      <c r="D39" s="1">
        <v>500</v>
      </c>
      <c r="E39" s="1">
        <v>400</v>
      </c>
      <c r="G39" s="26">
        <f>H46</f>
        <v>45</v>
      </c>
      <c r="H39" s="1"/>
      <c r="I39" s="4">
        <f>D39+E39+G39</f>
        <v>945</v>
      </c>
      <c r="K39" s="33" t="s">
        <v>97</v>
      </c>
      <c r="L39" s="33"/>
      <c r="M39" s="33"/>
    </row>
    <row r="40" spans="1:13" x14ac:dyDescent="0.25">
      <c r="B40" t="s">
        <v>68</v>
      </c>
      <c r="D40" s="16">
        <v>150</v>
      </c>
      <c r="E40" s="16">
        <v>100</v>
      </c>
      <c r="G40" s="1"/>
      <c r="H40" s="1"/>
      <c r="I40" s="4">
        <f>D40+E40</f>
        <v>250</v>
      </c>
      <c r="K40" s="34" t="s">
        <v>98</v>
      </c>
      <c r="L40" s="34"/>
      <c r="M40" s="34"/>
    </row>
    <row r="41" spans="1:13" x14ac:dyDescent="0.25">
      <c r="B41" t="s">
        <v>44</v>
      </c>
      <c r="D41" s="13">
        <v>275</v>
      </c>
      <c r="E41" s="13">
        <v>330</v>
      </c>
      <c r="G41" s="1"/>
      <c r="H41" s="38">
        <f>(H46+H48+H49)*22/100</f>
        <v>37.4</v>
      </c>
      <c r="I41" s="39">
        <f>D41+E41-H41</f>
        <v>567.6</v>
      </c>
      <c r="K41" s="37" t="s">
        <v>99</v>
      </c>
      <c r="L41" s="37"/>
      <c r="M41" s="37"/>
    </row>
    <row r="42" spans="1:13" x14ac:dyDescent="0.25">
      <c r="B42" s="6" t="s">
        <v>64</v>
      </c>
      <c r="C42" s="6"/>
      <c r="D42" s="12">
        <f>D35-D36-D39-D40-D41</f>
        <v>975</v>
      </c>
      <c r="E42" s="12">
        <f>E35-E36-E39-E40-E41</f>
        <v>1170</v>
      </c>
      <c r="G42" s="12"/>
      <c r="H42" s="35">
        <f>G35+G36+G37+G38+G39-H36-H41</f>
        <v>258.60000000000002</v>
      </c>
      <c r="I42" s="41">
        <f>I35-I36-I38-I39-I40-I41</f>
        <v>1886.4</v>
      </c>
    </row>
    <row r="43" spans="1:13" x14ac:dyDescent="0.25">
      <c r="D43" s="1"/>
      <c r="E43" s="1"/>
      <c r="G43" s="1"/>
      <c r="H43" s="1"/>
      <c r="K43" s="6" t="s">
        <v>100</v>
      </c>
    </row>
    <row r="44" spans="1:13" s="10" customFormat="1" x14ac:dyDescent="0.25">
      <c r="A44"/>
      <c r="B44" s="6" t="s">
        <v>70</v>
      </c>
      <c r="C44" s="6"/>
      <c r="D44" s="14" t="s">
        <v>59</v>
      </c>
      <c r="E44" s="14" t="s">
        <v>60</v>
      </c>
      <c r="F44"/>
      <c r="G44" s="1"/>
      <c r="H44" s="1"/>
      <c r="I44"/>
    </row>
    <row r="45" spans="1:13" x14ac:dyDescent="0.25">
      <c r="A45" s="10"/>
      <c r="B45" s="10" t="s">
        <v>85</v>
      </c>
      <c r="C45" s="10"/>
      <c r="D45" s="21"/>
      <c r="E45" s="21"/>
      <c r="F45" s="10"/>
      <c r="G45" s="23">
        <f>G17</f>
        <v>378</v>
      </c>
      <c r="H45" s="24">
        <f>G45/3</f>
        <v>126</v>
      </c>
      <c r="I45" s="22">
        <f>D45+E45+G45-H45</f>
        <v>252</v>
      </c>
      <c r="K45" s="45" t="s">
        <v>101</v>
      </c>
      <c r="L45" s="45"/>
      <c r="M45" s="45">
        <f>E42</f>
        <v>1170</v>
      </c>
    </row>
    <row r="46" spans="1:13" x14ac:dyDescent="0.25">
      <c r="B46" t="s">
        <v>53</v>
      </c>
      <c r="D46" s="1">
        <v>4500</v>
      </c>
      <c r="E46" s="1">
        <v>3600</v>
      </c>
      <c r="G46" s="23">
        <f>G18</f>
        <v>450</v>
      </c>
      <c r="H46" s="26">
        <f>G46/10</f>
        <v>45</v>
      </c>
      <c r="I46" s="22">
        <f t="shared" ref="I46:I47" si="4">D46+E46+G46-H46</f>
        <v>8505</v>
      </c>
      <c r="K46" s="45" t="s">
        <v>102</v>
      </c>
      <c r="L46" s="45"/>
      <c r="M46" s="45">
        <f>-H46</f>
        <v>-45</v>
      </c>
    </row>
    <row r="47" spans="1:13" x14ac:dyDescent="0.25">
      <c r="B47" t="s">
        <v>65</v>
      </c>
      <c r="D47" s="1">
        <v>1250</v>
      </c>
      <c r="E47" s="1"/>
      <c r="G47" s="1"/>
      <c r="H47" s="23">
        <f>H19</f>
        <v>1250</v>
      </c>
      <c r="I47" s="22">
        <f t="shared" si="4"/>
        <v>0</v>
      </c>
      <c r="K47" s="45" t="s">
        <v>103</v>
      </c>
      <c r="L47" s="45"/>
      <c r="M47" s="45">
        <f>-H49</f>
        <v>-50</v>
      </c>
    </row>
    <row r="48" spans="1:13" x14ac:dyDescent="0.25">
      <c r="B48" t="s">
        <v>66</v>
      </c>
      <c r="D48" s="1">
        <v>1000</v>
      </c>
      <c r="E48" s="1">
        <v>500</v>
      </c>
      <c r="G48" s="23">
        <f>G20</f>
        <v>50</v>
      </c>
      <c r="H48" s="30">
        <f>G36</f>
        <v>75</v>
      </c>
      <c r="I48" s="4">
        <f>D48+E48+G48-H48-H49</f>
        <v>1425</v>
      </c>
      <c r="K48" s="45" t="s">
        <v>104</v>
      </c>
      <c r="L48" s="45"/>
      <c r="M48" s="45">
        <f>-H48</f>
        <v>-75</v>
      </c>
    </row>
    <row r="49" spans="2:16" x14ac:dyDescent="0.25">
      <c r="D49" s="1"/>
      <c r="E49" s="1"/>
      <c r="H49" s="32">
        <f>G48</f>
        <v>50</v>
      </c>
      <c r="K49" s="45" t="s">
        <v>44</v>
      </c>
      <c r="L49" s="45"/>
      <c r="M49" s="46">
        <f>H41</f>
        <v>37.4</v>
      </c>
    </row>
    <row r="50" spans="2:16" x14ac:dyDescent="0.25">
      <c r="B50" t="s">
        <v>72</v>
      </c>
      <c r="D50" s="13">
        <v>2975</v>
      </c>
      <c r="E50" s="13">
        <v>2570</v>
      </c>
      <c r="G50" s="1"/>
      <c r="H50" s="1"/>
      <c r="I50" s="5">
        <f>D50+E50</f>
        <v>5545</v>
      </c>
      <c r="K50" s="45"/>
      <c r="L50" s="45"/>
      <c r="M50" s="45">
        <f>SUM(M45:M49)</f>
        <v>1037.4000000000001</v>
      </c>
    </row>
    <row r="51" spans="2:16" x14ac:dyDescent="0.25">
      <c r="B51" s="6" t="s">
        <v>55</v>
      </c>
      <c r="C51" s="6"/>
      <c r="D51" s="12">
        <f>SUM(D46:D50)</f>
        <v>9725</v>
      </c>
      <c r="E51" s="12">
        <f>SUM(E46:E50)</f>
        <v>6670</v>
      </c>
      <c r="G51" s="12"/>
      <c r="H51" s="12"/>
      <c r="I51" s="7">
        <f>SUM(I45:I50)</f>
        <v>15727</v>
      </c>
      <c r="K51" s="45" t="s">
        <v>105</v>
      </c>
      <c r="L51" s="45"/>
      <c r="M51" s="45">
        <f>M50*20/100</f>
        <v>207.48</v>
      </c>
    </row>
    <row r="52" spans="2:16" x14ac:dyDescent="0.25">
      <c r="D52" s="1"/>
      <c r="E52" s="1"/>
      <c r="G52" s="1"/>
      <c r="H52" s="1"/>
    </row>
    <row r="53" spans="2:16" x14ac:dyDescent="0.25">
      <c r="B53" t="s">
        <v>56</v>
      </c>
      <c r="D53" s="1">
        <v>3000</v>
      </c>
      <c r="E53" s="1">
        <v>500</v>
      </c>
      <c r="G53" s="23">
        <f>G24</f>
        <v>500</v>
      </c>
      <c r="H53" s="1"/>
      <c r="I53" s="4">
        <f>D53+E53-G53</f>
        <v>3000</v>
      </c>
      <c r="K53" s="6" t="s">
        <v>106</v>
      </c>
    </row>
    <row r="54" spans="2:16" x14ac:dyDescent="0.25">
      <c r="B54" t="s">
        <v>90</v>
      </c>
      <c r="D54" s="1"/>
      <c r="E54" s="1"/>
      <c r="G54" s="1"/>
      <c r="H54" s="23">
        <f>I25</f>
        <v>218</v>
      </c>
      <c r="I54" s="3">
        <f>H54+H55</f>
        <v>425.48</v>
      </c>
    </row>
    <row r="55" spans="2:16" x14ac:dyDescent="0.25">
      <c r="D55" s="1"/>
      <c r="E55" s="1"/>
      <c r="G55" s="1"/>
      <c r="H55" s="40">
        <f>M51</f>
        <v>207.48</v>
      </c>
      <c r="K55" t="s">
        <v>107</v>
      </c>
      <c r="M55" s="3">
        <f>D42</f>
        <v>975</v>
      </c>
    </row>
    <row r="56" spans="2:16" x14ac:dyDescent="0.25">
      <c r="B56" t="s">
        <v>57</v>
      </c>
      <c r="D56" s="1">
        <v>1475</v>
      </c>
      <c r="E56" s="1">
        <v>1370</v>
      </c>
      <c r="G56" s="23">
        <f>G26</f>
        <v>200</v>
      </c>
      <c r="H56" s="1"/>
      <c r="I56" s="3">
        <f>D56+E56-G56-G57-G58</f>
        <v>2178.92</v>
      </c>
      <c r="K56" t="s">
        <v>108</v>
      </c>
      <c r="M56" s="3">
        <f>E42*80/100</f>
        <v>936</v>
      </c>
    </row>
    <row r="57" spans="2:16" x14ac:dyDescent="0.25">
      <c r="D57" s="1"/>
      <c r="E57" s="1"/>
      <c r="G57" s="36">
        <f>H42</f>
        <v>258.60000000000002</v>
      </c>
      <c r="H57" s="1"/>
      <c r="K57" t="s">
        <v>109</v>
      </c>
      <c r="M57" s="3">
        <f>-H46*80/100</f>
        <v>-36</v>
      </c>
    </row>
    <row r="58" spans="2:16" x14ac:dyDescent="0.25">
      <c r="D58" s="1"/>
      <c r="E58" s="1"/>
      <c r="G58" s="40">
        <f>M51</f>
        <v>207.48</v>
      </c>
      <c r="H58" s="1"/>
      <c r="K58" t="s">
        <v>110</v>
      </c>
      <c r="M58" s="3">
        <f>-H49*80/100</f>
        <v>-40</v>
      </c>
    </row>
    <row r="59" spans="2:16" x14ac:dyDescent="0.25">
      <c r="B59" t="s">
        <v>4</v>
      </c>
      <c r="D59" s="1"/>
      <c r="E59" s="1"/>
      <c r="G59" s="38">
        <f>H41</f>
        <v>37.4</v>
      </c>
      <c r="H59" s="23">
        <f>H27</f>
        <v>110</v>
      </c>
      <c r="I59" s="3">
        <f>H59-G59</f>
        <v>72.599999999999994</v>
      </c>
      <c r="K59" t="s">
        <v>111</v>
      </c>
      <c r="M59" s="3">
        <f>-H48*80/100</f>
        <v>-60</v>
      </c>
    </row>
    <row r="60" spans="2:16" x14ac:dyDescent="0.25">
      <c r="B60" t="s">
        <v>58</v>
      </c>
      <c r="D60" s="13">
        <v>5250</v>
      </c>
      <c r="E60" s="13">
        <v>4800</v>
      </c>
      <c r="G60" s="13"/>
      <c r="H60" s="13"/>
      <c r="I60" s="5">
        <f>D60+E60</f>
        <v>10050</v>
      </c>
      <c r="K60" t="s">
        <v>112</v>
      </c>
      <c r="M60" s="3">
        <f>-H45</f>
        <v>-126</v>
      </c>
    </row>
    <row r="61" spans="2:16" x14ac:dyDescent="0.25">
      <c r="B61" s="6" t="s">
        <v>67</v>
      </c>
      <c r="C61" s="6"/>
      <c r="D61" s="12">
        <f>SUM(D53:D60)</f>
        <v>9725</v>
      </c>
      <c r="E61" s="12">
        <f>SUM(E53:E60)</f>
        <v>6670</v>
      </c>
      <c r="G61" s="12">
        <f>SUM(G35:G60)</f>
        <v>3177.48</v>
      </c>
      <c r="H61" s="12">
        <f>SUM(H35:H60)</f>
        <v>3177.48</v>
      </c>
      <c r="I61" s="7">
        <f>SUM(I53:I60)</f>
        <v>15727</v>
      </c>
      <c r="K61" t="s">
        <v>113</v>
      </c>
      <c r="M61" s="39">
        <f>H41*80/100</f>
        <v>29.92</v>
      </c>
    </row>
    <row r="62" spans="2:16" x14ac:dyDescent="0.25">
      <c r="M62" s="3">
        <f>SUM(M55:M61)</f>
        <v>1678.92</v>
      </c>
    </row>
    <row r="64" spans="2:16" x14ac:dyDescent="0.25">
      <c r="K64" s="42" t="s">
        <v>114</v>
      </c>
      <c r="L64" s="42"/>
      <c r="M64" s="42"/>
      <c r="N64" s="43"/>
      <c r="O64" s="42"/>
      <c r="P64" s="42"/>
    </row>
    <row r="65" spans="11:16" x14ac:dyDescent="0.25">
      <c r="K65" s="42" t="s">
        <v>115</v>
      </c>
      <c r="L65" s="42"/>
      <c r="M65" s="42"/>
      <c r="N65" s="43"/>
      <c r="O65" s="42"/>
      <c r="P65" s="42"/>
    </row>
    <row r="67" spans="11:16" ht="15.75" x14ac:dyDescent="0.25">
      <c r="K67" s="47" t="s">
        <v>146</v>
      </c>
    </row>
    <row r="69" spans="11:16" x14ac:dyDescent="0.25">
      <c r="K69" t="s">
        <v>101</v>
      </c>
      <c r="M69">
        <f>E42</f>
        <v>1170</v>
      </c>
    </row>
    <row r="70" spans="11:16" x14ac:dyDescent="0.25">
      <c r="K70" t="s">
        <v>102</v>
      </c>
      <c r="M70">
        <f>-H46</f>
        <v>-45</v>
      </c>
    </row>
    <row r="71" spans="11:16" x14ac:dyDescent="0.25">
      <c r="K71" t="s">
        <v>103</v>
      </c>
      <c r="M71">
        <f>-H49</f>
        <v>-50</v>
      </c>
    </row>
    <row r="72" spans="11:16" x14ac:dyDescent="0.25">
      <c r="K72" t="s">
        <v>104</v>
      </c>
      <c r="M72">
        <f>-H48</f>
        <v>-75</v>
      </c>
    </row>
    <row r="73" spans="11:16" x14ac:dyDescent="0.25">
      <c r="K73" t="s">
        <v>44</v>
      </c>
      <c r="M73" s="8">
        <f>H41</f>
        <v>37.4</v>
      </c>
    </row>
    <row r="74" spans="11:16" x14ac:dyDescent="0.25">
      <c r="M74">
        <f>SUM(M69:M73)</f>
        <v>1037.4000000000001</v>
      </c>
    </row>
    <row r="75" spans="11:16" x14ac:dyDescent="0.25">
      <c r="K75" t="s">
        <v>147</v>
      </c>
      <c r="M75">
        <f>M74*80/100</f>
        <v>829.92</v>
      </c>
    </row>
    <row r="76" spans="11:16" x14ac:dyDescent="0.25">
      <c r="K76" t="s">
        <v>112</v>
      </c>
      <c r="M76" s="5">
        <f>-H45</f>
        <v>-126</v>
      </c>
    </row>
    <row r="77" spans="11:16" x14ac:dyDescent="0.25">
      <c r="K77" s="6" t="s">
        <v>148</v>
      </c>
      <c r="L77" s="6"/>
      <c r="M77" s="6">
        <f>SUM(M75:M76)</f>
        <v>703.92</v>
      </c>
    </row>
  </sheetData>
  <mergeCells count="2">
    <mergeCell ref="G15:H15"/>
    <mergeCell ref="G32:H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2"/>
  <sheetViews>
    <sheetView topLeftCell="A29" workbookViewId="0">
      <selection activeCell="N49" sqref="N49"/>
    </sheetView>
  </sheetViews>
  <sheetFormatPr baseColWidth="10" defaultRowHeight="15" x14ac:dyDescent="0.25"/>
  <cols>
    <col min="1" max="1" width="38" bestFit="1" customWidth="1"/>
    <col min="4" max="4" width="12.7109375" bestFit="1" customWidth="1"/>
  </cols>
  <sheetData>
    <row r="1" spans="1:7" x14ac:dyDescent="0.25">
      <c r="A1" s="6" t="s">
        <v>0</v>
      </c>
    </row>
    <row r="2" spans="1:7" x14ac:dyDescent="0.25">
      <c r="A2" t="s">
        <v>116</v>
      </c>
      <c r="D2" s="1">
        <v>1500000</v>
      </c>
    </row>
    <row r="3" spans="1:7" x14ac:dyDescent="0.25">
      <c r="A3" t="s">
        <v>117</v>
      </c>
      <c r="D3" s="1">
        <v>500000</v>
      </c>
    </row>
    <row r="4" spans="1:7" x14ac:dyDescent="0.25">
      <c r="A4" t="s">
        <v>212</v>
      </c>
      <c r="B4" s="1">
        <v>430000</v>
      </c>
      <c r="D4" s="1"/>
    </row>
    <row r="5" spans="1:7" x14ac:dyDescent="0.25">
      <c r="A5" t="s">
        <v>213</v>
      </c>
      <c r="B5" s="1">
        <v>70000</v>
      </c>
      <c r="D5" s="1"/>
    </row>
    <row r="6" spans="1:7" x14ac:dyDescent="0.25">
      <c r="A6" t="s">
        <v>214</v>
      </c>
      <c r="B6" s="1">
        <v>20000</v>
      </c>
      <c r="D6" s="1"/>
    </row>
    <row r="7" spans="1:7" x14ac:dyDescent="0.25">
      <c r="A7" t="s">
        <v>215</v>
      </c>
      <c r="D7" s="1">
        <f>B4+B6</f>
        <v>450000</v>
      </c>
    </row>
    <row r="8" spans="1:7" x14ac:dyDescent="0.25">
      <c r="A8" t="s">
        <v>118</v>
      </c>
      <c r="D8" s="1">
        <v>625000</v>
      </c>
    </row>
    <row r="9" spans="1:7" x14ac:dyDescent="0.25">
      <c r="A9" t="s">
        <v>119</v>
      </c>
      <c r="D9" s="1">
        <v>625000</v>
      </c>
    </row>
    <row r="10" spans="1:7" x14ac:dyDescent="0.25">
      <c r="A10" t="s">
        <v>120</v>
      </c>
      <c r="D10" s="1">
        <v>450000</v>
      </c>
    </row>
    <row r="11" spans="1:7" x14ac:dyDescent="0.25">
      <c r="A11" t="s">
        <v>121</v>
      </c>
      <c r="D11" s="1">
        <v>625000</v>
      </c>
    </row>
    <row r="13" spans="1:7" x14ac:dyDescent="0.25">
      <c r="A13" t="s">
        <v>122</v>
      </c>
    </row>
    <row r="14" spans="1:7" x14ac:dyDescent="0.25">
      <c r="A14" s="4">
        <f>D2</f>
        <v>1500000</v>
      </c>
      <c r="B14" s="44" t="s">
        <v>123</v>
      </c>
      <c r="C14" s="4">
        <f>D7</f>
        <v>450000</v>
      </c>
      <c r="D14" s="44" t="s">
        <v>124</v>
      </c>
      <c r="E14" t="s">
        <v>125</v>
      </c>
      <c r="F14" s="44" t="s">
        <v>126</v>
      </c>
      <c r="G14" s="4">
        <f>D8</f>
        <v>625000</v>
      </c>
    </row>
    <row r="15" spans="1:7" x14ac:dyDescent="0.25">
      <c r="A15" s="44" t="s">
        <v>125</v>
      </c>
      <c r="B15" s="44" t="s">
        <v>123</v>
      </c>
      <c r="C15" s="4">
        <f>A14</f>
        <v>1500000</v>
      </c>
      <c r="D15" s="44" t="s">
        <v>126</v>
      </c>
      <c r="E15" s="4">
        <f>C14</f>
        <v>450000</v>
      </c>
      <c r="F15" s="44" t="s">
        <v>124</v>
      </c>
      <c r="G15" s="4">
        <f>G14</f>
        <v>625000</v>
      </c>
    </row>
    <row r="16" spans="1:7" x14ac:dyDescent="0.25">
      <c r="A16" s="17" t="s">
        <v>125</v>
      </c>
      <c r="B16" s="17" t="s">
        <v>123</v>
      </c>
      <c r="C16" s="7">
        <f>C15-E15+G15</f>
        <v>1675000</v>
      </c>
    </row>
    <row r="18" spans="1:4" x14ac:dyDescent="0.25">
      <c r="A18" t="s">
        <v>3</v>
      </c>
    </row>
    <row r="19" spans="1:4" x14ac:dyDescent="0.25">
      <c r="A19" t="s">
        <v>127</v>
      </c>
      <c r="D19" s="1">
        <v>100000</v>
      </c>
    </row>
    <row r="20" spans="1:4" x14ac:dyDescent="0.25">
      <c r="A20" t="s">
        <v>128</v>
      </c>
      <c r="D20" s="1">
        <v>11</v>
      </c>
    </row>
    <row r="21" spans="1:4" x14ac:dyDescent="0.25">
      <c r="D21" s="1"/>
    </row>
    <row r="22" spans="1:4" x14ac:dyDescent="0.25">
      <c r="A22" s="6" t="s">
        <v>129</v>
      </c>
      <c r="B22" s="6"/>
      <c r="C22" s="6"/>
      <c r="D22" s="12">
        <f>D19*D20</f>
        <v>1100000</v>
      </c>
    </row>
    <row r="24" spans="1:4" x14ac:dyDescent="0.25">
      <c r="A24" s="6" t="s">
        <v>5</v>
      </c>
    </row>
    <row r="25" spans="1:4" x14ac:dyDescent="0.25">
      <c r="A25" t="s">
        <v>130</v>
      </c>
      <c r="D25" s="1">
        <v>1000000</v>
      </c>
    </row>
    <row r="26" spans="1:4" x14ac:dyDescent="0.25">
      <c r="A26" s="10" t="s">
        <v>131</v>
      </c>
      <c r="D26" s="1">
        <v>1100000</v>
      </c>
    </row>
    <row r="27" spans="1:4" x14ac:dyDescent="0.25">
      <c r="A27" s="10" t="s">
        <v>132</v>
      </c>
      <c r="D27" s="1">
        <v>20000</v>
      </c>
    </row>
    <row r="28" spans="1:4" x14ac:dyDescent="0.25">
      <c r="A28" s="10" t="s">
        <v>133</v>
      </c>
      <c r="D28" s="1">
        <v>1500000</v>
      </c>
    </row>
    <row r="29" spans="1:4" x14ac:dyDescent="0.25">
      <c r="A29" s="10" t="s">
        <v>134</v>
      </c>
      <c r="D29" s="1">
        <v>1655000</v>
      </c>
    </row>
    <row r="30" spans="1:4" x14ac:dyDescent="0.25">
      <c r="A30" s="10" t="s">
        <v>135</v>
      </c>
      <c r="D30" s="1">
        <v>40000</v>
      </c>
    </row>
    <row r="32" spans="1:4" x14ac:dyDescent="0.25">
      <c r="A32" t="s">
        <v>136</v>
      </c>
      <c r="D32" s="4">
        <f>D29-D28</f>
        <v>155000</v>
      </c>
    </row>
    <row r="33" spans="1:10" x14ac:dyDescent="0.25">
      <c r="A33" t="s">
        <v>137</v>
      </c>
      <c r="D33" s="4">
        <f>-(D26-D25)</f>
        <v>-100000</v>
      </c>
    </row>
    <row r="34" spans="1:10" x14ac:dyDescent="0.25">
      <c r="A34" t="s">
        <v>138</v>
      </c>
      <c r="D34" s="5">
        <f>D30</f>
        <v>40000</v>
      </c>
    </row>
    <row r="35" spans="1:10" x14ac:dyDescent="0.25">
      <c r="A35" s="6" t="s">
        <v>139</v>
      </c>
      <c r="B35" s="6"/>
      <c r="C35" s="6"/>
      <c r="D35" s="7">
        <f>SUM(D32:D34)</f>
        <v>95000</v>
      </c>
    </row>
    <row r="37" spans="1:10" x14ac:dyDescent="0.25">
      <c r="A37" s="6" t="s">
        <v>8</v>
      </c>
    </row>
    <row r="38" spans="1:10" x14ac:dyDescent="0.25">
      <c r="A38" t="s">
        <v>140</v>
      </c>
      <c r="D38" s="1">
        <v>6500000</v>
      </c>
      <c r="F38" t="s">
        <v>229</v>
      </c>
      <c r="I38" s="56"/>
    </row>
    <row r="39" spans="1:10" x14ac:dyDescent="0.25">
      <c r="A39" s="10" t="s">
        <v>141</v>
      </c>
      <c r="D39" s="13">
        <v>2000000</v>
      </c>
      <c r="F39" t="s">
        <v>218</v>
      </c>
      <c r="I39" s="56">
        <v>0</v>
      </c>
    </row>
    <row r="40" spans="1:10" x14ac:dyDescent="0.25">
      <c r="A40" s="10" t="s">
        <v>142</v>
      </c>
      <c r="D40" s="1">
        <f>SUM(D38:D39)</f>
        <v>8500000</v>
      </c>
      <c r="F40" t="s">
        <v>219</v>
      </c>
      <c r="I40" s="56">
        <f>D48</f>
        <v>4400000</v>
      </c>
    </row>
    <row r="41" spans="1:10" x14ac:dyDescent="0.25">
      <c r="D41" s="1"/>
      <c r="F41" t="s">
        <v>220</v>
      </c>
      <c r="I41" s="56">
        <f>D49</f>
        <v>600000</v>
      </c>
    </row>
    <row r="42" spans="1:10" x14ac:dyDescent="0.25">
      <c r="A42" t="s">
        <v>143</v>
      </c>
      <c r="D42" s="1">
        <v>2000</v>
      </c>
      <c r="F42" t="s">
        <v>221</v>
      </c>
      <c r="I42" s="57">
        <f>I40-I41</f>
        <v>3800000</v>
      </c>
    </row>
    <row r="43" spans="1:10" x14ac:dyDescent="0.25">
      <c r="D43" s="1"/>
      <c r="I43" s="56"/>
      <c r="J43" s="58" t="s">
        <v>222</v>
      </c>
    </row>
    <row r="44" spans="1:10" x14ac:dyDescent="0.25">
      <c r="A44" t="s">
        <v>144</v>
      </c>
      <c r="D44" s="1">
        <f>D40/D42</f>
        <v>4250</v>
      </c>
      <c r="F44" t="s">
        <v>223</v>
      </c>
      <c r="I44" s="56">
        <f>I42</f>
        <v>3800000</v>
      </c>
      <c r="J44" s="56">
        <f>I44/2000</f>
        <v>1900</v>
      </c>
    </row>
    <row r="45" spans="1:10" x14ac:dyDescent="0.25">
      <c r="D45" s="1"/>
      <c r="F45" t="s">
        <v>224</v>
      </c>
      <c r="I45" s="56">
        <f>D38</f>
        <v>6500000</v>
      </c>
      <c r="J45" s="56">
        <f t="shared" ref="J45:J47" si="0">I45/2000</f>
        <v>3250</v>
      </c>
    </row>
    <row r="46" spans="1:10" x14ac:dyDescent="0.25">
      <c r="A46" t="s">
        <v>145</v>
      </c>
      <c r="D46" s="1">
        <v>400</v>
      </c>
      <c r="F46" t="s">
        <v>225</v>
      </c>
      <c r="I46" s="56">
        <f>D39</f>
        <v>2000000</v>
      </c>
      <c r="J46" s="56">
        <f t="shared" si="0"/>
        <v>1000</v>
      </c>
    </row>
    <row r="47" spans="1:10" x14ac:dyDescent="0.25">
      <c r="D47" s="1"/>
      <c r="F47" t="s">
        <v>226</v>
      </c>
      <c r="I47" s="57">
        <f>SUM(I44:I46)</f>
        <v>12300000</v>
      </c>
      <c r="J47" s="57">
        <f t="shared" si="0"/>
        <v>6150</v>
      </c>
    </row>
    <row r="48" spans="1:10" x14ac:dyDescent="0.25">
      <c r="A48" t="s">
        <v>216</v>
      </c>
      <c r="D48" s="1">
        <v>4400000</v>
      </c>
    </row>
    <row r="49" spans="1:9" x14ac:dyDescent="0.25">
      <c r="A49" t="s">
        <v>217</v>
      </c>
      <c r="D49" s="1">
        <v>600000</v>
      </c>
      <c r="F49" t="s">
        <v>227</v>
      </c>
      <c r="I49" s="57">
        <f>I47/D42</f>
        <v>6150</v>
      </c>
    </row>
    <row r="50" spans="1:9" x14ac:dyDescent="0.25">
      <c r="D50" s="1"/>
    </row>
    <row r="51" spans="1:9" x14ac:dyDescent="0.25">
      <c r="F51" t="s">
        <v>228</v>
      </c>
      <c r="I51" s="4">
        <f>D46*I49</f>
        <v>2460000</v>
      </c>
    </row>
    <row r="52" spans="1:9" x14ac:dyDescent="0.25">
      <c r="A52" s="6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0"/>
  <sheetViews>
    <sheetView topLeftCell="A15" workbookViewId="0">
      <selection activeCell="A18" sqref="A18:F21"/>
    </sheetView>
  </sheetViews>
  <sheetFormatPr baseColWidth="10" defaultRowHeight="15" x14ac:dyDescent="0.25"/>
  <cols>
    <col min="11" max="12" width="13.42578125" bestFit="1" customWidth="1"/>
  </cols>
  <sheetData>
    <row r="1" spans="1:17" x14ac:dyDescent="0.25">
      <c r="H1" s="6" t="s">
        <v>0</v>
      </c>
    </row>
    <row r="2" spans="1:17" x14ac:dyDescent="0.25">
      <c r="K2" s="17">
        <v>2019</v>
      </c>
      <c r="L2" s="17"/>
      <c r="M2" s="17">
        <v>2020</v>
      </c>
      <c r="N2" s="17"/>
      <c r="O2" s="17">
        <v>2021</v>
      </c>
    </row>
    <row r="3" spans="1:17" x14ac:dyDescent="0.25">
      <c r="D3" s="17">
        <v>2019</v>
      </c>
      <c r="E3" s="17">
        <v>2020</v>
      </c>
      <c r="F3" s="17">
        <v>2021</v>
      </c>
      <c r="K3" s="17" t="s">
        <v>149</v>
      </c>
      <c r="L3" s="17" t="s">
        <v>150</v>
      </c>
      <c r="M3" s="17" t="s">
        <v>149</v>
      </c>
      <c r="N3" s="17" t="s">
        <v>150</v>
      </c>
      <c r="O3" s="17" t="s">
        <v>149</v>
      </c>
      <c r="P3" s="17" t="s">
        <v>150</v>
      </c>
    </row>
    <row r="4" spans="1:17" x14ac:dyDescent="0.25">
      <c r="A4" t="s">
        <v>151</v>
      </c>
      <c r="D4" s="1">
        <v>4500</v>
      </c>
      <c r="E4" s="1">
        <v>5200</v>
      </c>
      <c r="F4" s="1">
        <v>5550</v>
      </c>
      <c r="H4" t="s">
        <v>151</v>
      </c>
      <c r="K4" s="1">
        <v>4500</v>
      </c>
      <c r="L4" s="48">
        <f>K4/K4</f>
        <v>1</v>
      </c>
      <c r="M4" s="1">
        <v>5200</v>
      </c>
      <c r="N4" s="48">
        <f>M4/M4</f>
        <v>1</v>
      </c>
      <c r="O4" s="1">
        <v>5550</v>
      </c>
      <c r="P4" s="49">
        <f>O4/O4</f>
        <v>1</v>
      </c>
    </row>
    <row r="5" spans="1:17" x14ac:dyDescent="0.25">
      <c r="A5" t="s">
        <v>152</v>
      </c>
      <c r="D5" s="1">
        <v>2475</v>
      </c>
      <c r="E5" s="1">
        <v>2850</v>
      </c>
      <c r="F5" s="1">
        <v>3100</v>
      </c>
      <c r="H5" t="s">
        <v>152</v>
      </c>
      <c r="K5" s="1">
        <v>2475</v>
      </c>
      <c r="L5" s="48">
        <f>K5/$K$4</f>
        <v>0.55000000000000004</v>
      </c>
      <c r="M5" s="1">
        <v>2850</v>
      </c>
      <c r="N5" s="48">
        <f>M5/$M$4</f>
        <v>0.54807692307692313</v>
      </c>
      <c r="O5" s="1">
        <v>3100</v>
      </c>
      <c r="P5" s="49">
        <f>O5/$O$4</f>
        <v>0.55855855855855852</v>
      </c>
    </row>
    <row r="6" spans="1:17" x14ac:dyDescent="0.25">
      <c r="A6" t="s">
        <v>153</v>
      </c>
      <c r="D6" s="13">
        <v>180</v>
      </c>
      <c r="E6" s="13">
        <v>208</v>
      </c>
      <c r="F6" s="13">
        <v>222</v>
      </c>
      <c r="H6" t="s">
        <v>153</v>
      </c>
      <c r="K6" s="13">
        <v>180</v>
      </c>
      <c r="L6" s="48">
        <f t="shared" ref="L6:L13" si="0">K6/$K$4</f>
        <v>0.04</v>
      </c>
      <c r="M6" s="13">
        <v>208</v>
      </c>
      <c r="N6" s="48">
        <f t="shared" ref="N6:N13" si="1">M6/$M$4</f>
        <v>0.04</v>
      </c>
      <c r="O6" s="13">
        <v>222</v>
      </c>
      <c r="P6" s="49">
        <f t="shared" ref="P6:P13" si="2">O6/$O$4</f>
        <v>0.04</v>
      </c>
    </row>
    <row r="7" spans="1:17" x14ac:dyDescent="0.25">
      <c r="A7" t="s">
        <v>154</v>
      </c>
      <c r="D7" s="50">
        <f>D4-D5-D6</f>
        <v>1845</v>
      </c>
      <c r="E7" s="50">
        <f t="shared" ref="E7:F7" si="3">E4-E5-E6</f>
        <v>2142</v>
      </c>
      <c r="F7" s="50">
        <f t="shared" si="3"/>
        <v>2228</v>
      </c>
      <c r="H7" t="s">
        <v>154</v>
      </c>
      <c r="K7" s="50">
        <f>K4-K5-K6</f>
        <v>1845</v>
      </c>
      <c r="L7" s="48">
        <f t="shared" si="0"/>
        <v>0.41</v>
      </c>
      <c r="M7" s="50">
        <f t="shared" ref="M7" si="4">M4-M5-M6</f>
        <v>2142</v>
      </c>
      <c r="N7" s="48">
        <f t="shared" si="1"/>
        <v>0.41192307692307695</v>
      </c>
      <c r="O7" s="50">
        <f t="shared" ref="O7" si="5">O4-O5-O6</f>
        <v>2228</v>
      </c>
      <c r="P7" s="49">
        <f t="shared" si="2"/>
        <v>0.40144144144144145</v>
      </c>
    </row>
    <row r="8" spans="1:17" x14ac:dyDescent="0.25">
      <c r="A8" t="s">
        <v>155</v>
      </c>
      <c r="D8" s="1"/>
      <c r="E8" s="1"/>
      <c r="F8" s="1"/>
      <c r="H8" t="s">
        <v>155</v>
      </c>
      <c r="K8" s="1"/>
      <c r="L8" s="48"/>
      <c r="M8" s="1"/>
      <c r="N8" s="48"/>
      <c r="O8" s="1"/>
      <c r="P8" s="49"/>
    </row>
    <row r="9" spans="1:17" x14ac:dyDescent="0.25">
      <c r="A9" t="s">
        <v>156</v>
      </c>
      <c r="D9" s="1">
        <v>1200</v>
      </c>
      <c r="E9" s="1">
        <v>1350</v>
      </c>
      <c r="F9" s="1">
        <v>1400</v>
      </c>
      <c r="H9" t="s">
        <v>156</v>
      </c>
      <c r="K9" s="1">
        <v>1200</v>
      </c>
      <c r="L9" s="48">
        <f t="shared" si="0"/>
        <v>0.26666666666666666</v>
      </c>
      <c r="M9" s="1">
        <v>1350</v>
      </c>
      <c r="N9" s="48">
        <f t="shared" si="1"/>
        <v>0.25961538461538464</v>
      </c>
      <c r="O9" s="1">
        <v>1400</v>
      </c>
      <c r="P9" s="49">
        <f t="shared" si="2"/>
        <v>0.25225225225225223</v>
      </c>
    </row>
    <row r="10" spans="1:17" x14ac:dyDescent="0.25">
      <c r="A10" t="s">
        <v>63</v>
      </c>
      <c r="D10" s="1">
        <v>300</v>
      </c>
      <c r="E10" s="1">
        <v>320</v>
      </c>
      <c r="F10" s="1">
        <v>340</v>
      </c>
      <c r="H10" t="s">
        <v>63</v>
      </c>
      <c r="K10" s="1">
        <v>300</v>
      </c>
      <c r="L10" s="48">
        <f t="shared" si="0"/>
        <v>6.6666666666666666E-2</v>
      </c>
      <c r="M10" s="1">
        <v>320</v>
      </c>
      <c r="N10" s="48">
        <f t="shared" si="1"/>
        <v>6.1538461538461542E-2</v>
      </c>
      <c r="O10" s="1">
        <v>340</v>
      </c>
      <c r="P10" s="49">
        <f t="shared" si="2"/>
        <v>6.126126126126126E-2</v>
      </c>
    </row>
    <row r="11" spans="1:17" x14ac:dyDescent="0.25">
      <c r="A11" t="s">
        <v>157</v>
      </c>
      <c r="D11" s="13">
        <v>150</v>
      </c>
      <c r="E11" s="13">
        <v>140</v>
      </c>
      <c r="F11" s="13">
        <v>100</v>
      </c>
      <c r="H11" t="s">
        <v>157</v>
      </c>
      <c r="K11" s="13">
        <v>150</v>
      </c>
      <c r="L11" s="48">
        <f t="shared" si="0"/>
        <v>3.3333333333333333E-2</v>
      </c>
      <c r="M11" s="13">
        <v>140</v>
      </c>
      <c r="N11" s="48">
        <f t="shared" si="1"/>
        <v>2.6923076923076925E-2</v>
      </c>
      <c r="O11" s="13">
        <v>100</v>
      </c>
      <c r="P11" s="49">
        <f t="shared" si="2"/>
        <v>1.8018018018018018E-2</v>
      </c>
    </row>
    <row r="12" spans="1:17" x14ac:dyDescent="0.25">
      <c r="A12" t="s">
        <v>158</v>
      </c>
      <c r="D12" s="50">
        <f>SUM(D9:D11)</f>
        <v>1650</v>
      </c>
      <c r="E12" s="50">
        <f t="shared" ref="E12:F12" si="6">SUM(E9:E11)</f>
        <v>1810</v>
      </c>
      <c r="F12" s="50">
        <f t="shared" si="6"/>
        <v>1840</v>
      </c>
      <c r="H12" t="s">
        <v>158</v>
      </c>
      <c r="K12" s="50">
        <f>SUM(K9:K11)</f>
        <v>1650</v>
      </c>
      <c r="L12" s="48">
        <f t="shared" si="0"/>
        <v>0.36666666666666664</v>
      </c>
      <c r="M12" s="50">
        <f t="shared" ref="M12" si="7">SUM(M9:M11)</f>
        <v>1810</v>
      </c>
      <c r="N12" s="48">
        <f t="shared" si="1"/>
        <v>0.34807692307692306</v>
      </c>
      <c r="O12" s="50">
        <f t="shared" ref="O12" si="8">SUM(O9:O11)</f>
        <v>1840</v>
      </c>
      <c r="P12" s="49">
        <f t="shared" si="2"/>
        <v>0.33153153153153153</v>
      </c>
    </row>
    <row r="13" spans="1:17" x14ac:dyDescent="0.25">
      <c r="A13" t="s">
        <v>159</v>
      </c>
      <c r="D13" s="50">
        <f>D7-D12</f>
        <v>195</v>
      </c>
      <c r="E13" s="50">
        <f t="shared" ref="E13:F13" si="9">E7-E12</f>
        <v>332</v>
      </c>
      <c r="F13" s="50">
        <f t="shared" si="9"/>
        <v>388</v>
      </c>
      <c r="H13" t="s">
        <v>159</v>
      </c>
      <c r="K13" s="50">
        <f>K7-K12</f>
        <v>195</v>
      </c>
      <c r="L13" s="48">
        <f t="shared" si="0"/>
        <v>4.3333333333333335E-2</v>
      </c>
      <c r="M13" s="50">
        <f t="shared" ref="M13" si="10">M7-M12</f>
        <v>332</v>
      </c>
      <c r="N13" s="48">
        <f t="shared" si="1"/>
        <v>6.3846153846153844E-2</v>
      </c>
      <c r="O13" s="50">
        <f t="shared" ref="O13" si="11">O7-O12</f>
        <v>388</v>
      </c>
      <c r="P13" s="49">
        <f t="shared" si="2"/>
        <v>6.9909909909909904E-2</v>
      </c>
    </row>
    <row r="14" spans="1:17" x14ac:dyDescent="0.25">
      <c r="K14" s="16"/>
      <c r="L14" s="48"/>
      <c r="M14" s="16"/>
      <c r="N14" s="48"/>
      <c r="O14" s="16"/>
      <c r="P14" s="49"/>
    </row>
    <row r="15" spans="1:17" x14ac:dyDescent="0.25">
      <c r="C15" s="17">
        <v>2018</v>
      </c>
      <c r="D15" s="17">
        <v>2019</v>
      </c>
      <c r="E15" s="17">
        <v>2020</v>
      </c>
      <c r="F15" s="17">
        <v>2021</v>
      </c>
      <c r="H15" t="s">
        <v>160</v>
      </c>
      <c r="K15" s="2">
        <f>K7/K4</f>
        <v>0.41</v>
      </c>
      <c r="L15" s="2"/>
      <c r="M15" s="2">
        <f t="shared" ref="M15:O15" si="12">M7/M4</f>
        <v>0.41192307692307695</v>
      </c>
      <c r="N15" s="2"/>
      <c r="O15" s="2">
        <f t="shared" si="12"/>
        <v>0.40144144144144145</v>
      </c>
      <c r="P15" s="2"/>
      <c r="Q15" t="s">
        <v>168</v>
      </c>
    </row>
    <row r="16" spans="1:17" x14ac:dyDescent="0.25">
      <c r="A16" t="s">
        <v>55</v>
      </c>
      <c r="C16">
        <v>5000</v>
      </c>
      <c r="D16" s="1">
        <v>6000</v>
      </c>
      <c r="E16" s="1">
        <v>8000</v>
      </c>
      <c r="F16" s="1">
        <v>10000</v>
      </c>
      <c r="H16" t="s">
        <v>161</v>
      </c>
      <c r="K16" s="4">
        <f>K12/K15</f>
        <v>4024.3902439024391</v>
      </c>
      <c r="L16" s="4"/>
      <c r="M16" s="4">
        <f t="shared" ref="M16:O16" si="13">M12/M15</f>
        <v>4394.0242763772176</v>
      </c>
      <c r="N16" s="4"/>
      <c r="O16" s="4">
        <f t="shared" si="13"/>
        <v>4583.4829443447034</v>
      </c>
      <c r="Q16" t="s">
        <v>169</v>
      </c>
    </row>
    <row r="17" spans="1:17" x14ac:dyDescent="0.25">
      <c r="H17" t="s">
        <v>162</v>
      </c>
      <c r="K17" s="4">
        <f>K4-K16</f>
        <v>475.60975609756088</v>
      </c>
      <c r="L17" s="4"/>
      <c r="M17" s="4">
        <f t="shared" ref="M17:O17" si="14">M4-M16</f>
        <v>805.97572362278243</v>
      </c>
      <c r="N17" s="4"/>
      <c r="O17" s="4">
        <f t="shared" si="14"/>
        <v>966.51705565529664</v>
      </c>
      <c r="Q17" t="s">
        <v>170</v>
      </c>
    </row>
    <row r="18" spans="1:17" x14ac:dyDescent="0.25">
      <c r="D18" s="17">
        <v>2019</v>
      </c>
      <c r="E18" s="17">
        <v>2020</v>
      </c>
      <c r="F18" s="17">
        <v>2021</v>
      </c>
      <c r="H18" t="s">
        <v>163</v>
      </c>
      <c r="K18" s="49">
        <f>K17/K4</f>
        <v>0.10569105691056908</v>
      </c>
      <c r="L18" s="49"/>
      <c r="M18" s="49">
        <f t="shared" ref="M18:O18" si="15">M17/M4</f>
        <v>0.15499533146591971</v>
      </c>
      <c r="N18" s="49"/>
      <c r="O18" s="49">
        <f t="shared" si="15"/>
        <v>0.17414721723518858</v>
      </c>
    </row>
    <row r="19" spans="1:17" x14ac:dyDescent="0.25">
      <c r="A19" t="s">
        <v>181</v>
      </c>
      <c r="D19" s="2">
        <f>G31</f>
        <v>6.2727272727272729E-2</v>
      </c>
      <c r="E19" s="2">
        <f>G24</f>
        <v>6.7428571428571435E-2</v>
      </c>
    </row>
    <row r="20" spans="1:17" x14ac:dyDescent="0.25">
      <c r="A20" t="s">
        <v>182</v>
      </c>
      <c r="D20" s="2">
        <f>G34</f>
        <v>7.6666666666666661E-2</v>
      </c>
      <c r="E20" s="2">
        <f>G27</f>
        <v>9.0769230769230769E-2</v>
      </c>
      <c r="H20" t="s">
        <v>164</v>
      </c>
    </row>
    <row r="21" spans="1:17" x14ac:dyDescent="0.25">
      <c r="A21" t="s">
        <v>183</v>
      </c>
      <c r="D21" s="3">
        <f>G35</f>
        <v>0.81818181818181823</v>
      </c>
      <c r="E21" s="3">
        <f>G28</f>
        <v>0.74285714285714288</v>
      </c>
      <c r="H21" t="s">
        <v>171</v>
      </c>
    </row>
    <row r="23" spans="1:17" x14ac:dyDescent="0.25">
      <c r="A23" s="6">
        <v>2020</v>
      </c>
      <c r="H23" t="s">
        <v>165</v>
      </c>
    </row>
    <row r="24" spans="1:17" x14ac:dyDescent="0.25">
      <c r="A24" s="8" t="s">
        <v>173</v>
      </c>
      <c r="B24" s="8"/>
      <c r="C24" s="8"/>
      <c r="E24" s="52">
        <f>M13+M11</f>
        <v>472</v>
      </c>
      <c r="F24" s="62" t="s">
        <v>175</v>
      </c>
      <c r="G24" s="63">
        <f>E24/E25</f>
        <v>6.7428571428571435E-2</v>
      </c>
      <c r="H24" t="s">
        <v>166</v>
      </c>
    </row>
    <row r="25" spans="1:17" x14ac:dyDescent="0.25">
      <c r="A25" s="60" t="s">
        <v>174</v>
      </c>
      <c r="B25" s="60"/>
      <c r="C25" s="60"/>
      <c r="E25" s="4">
        <f>(D16+E16)/2</f>
        <v>7000</v>
      </c>
      <c r="F25" s="62"/>
      <c r="G25" s="63"/>
    </row>
    <row r="26" spans="1:17" x14ac:dyDescent="0.25">
      <c r="H26" t="s">
        <v>172</v>
      </c>
    </row>
    <row r="27" spans="1:17" x14ac:dyDescent="0.25">
      <c r="A27" t="s">
        <v>182</v>
      </c>
      <c r="G27" s="2">
        <f>E24/M4</f>
        <v>9.0769230769230769E-2</v>
      </c>
      <c r="H27" t="s">
        <v>167</v>
      </c>
    </row>
    <row r="28" spans="1:17" x14ac:dyDescent="0.25">
      <c r="A28" t="s">
        <v>183</v>
      </c>
      <c r="G28" s="3">
        <f>M4/7000</f>
        <v>0.74285714285714288</v>
      </c>
    </row>
    <row r="29" spans="1:17" x14ac:dyDescent="0.25">
      <c r="H29" s="6" t="s">
        <v>3</v>
      </c>
    </row>
    <row r="30" spans="1:17" x14ac:dyDescent="0.25">
      <c r="A30" s="6">
        <v>2019</v>
      </c>
      <c r="H30" s="8" t="s">
        <v>173</v>
      </c>
      <c r="I30" s="8"/>
      <c r="J30" s="8"/>
      <c r="L30" s="52">
        <f>(O13+O11)</f>
        <v>488</v>
      </c>
      <c r="M30" s="62" t="s">
        <v>175</v>
      </c>
      <c r="N30" s="63">
        <f>L30/L31</f>
        <v>5.422222222222222E-2</v>
      </c>
    </row>
    <row r="31" spans="1:17" x14ac:dyDescent="0.25">
      <c r="A31" s="8" t="s">
        <v>173</v>
      </c>
      <c r="B31" s="8"/>
      <c r="C31" s="8"/>
      <c r="E31" s="52">
        <f>K13+K11</f>
        <v>345</v>
      </c>
      <c r="F31" s="62" t="s">
        <v>175</v>
      </c>
      <c r="G31" s="63">
        <f>E31/E32</f>
        <v>6.2727272727272729E-2</v>
      </c>
      <c r="H31" s="60" t="s">
        <v>174</v>
      </c>
      <c r="I31" s="60"/>
      <c r="J31" s="60"/>
      <c r="L31" s="4">
        <f>(E16+F16)/2</f>
        <v>9000</v>
      </c>
      <c r="M31" s="62"/>
      <c r="N31" s="63"/>
    </row>
    <row r="32" spans="1:17" x14ac:dyDescent="0.25">
      <c r="A32" s="60" t="s">
        <v>174</v>
      </c>
      <c r="B32" s="60"/>
      <c r="C32" s="60"/>
      <c r="E32" s="4">
        <f>(C16+D16)/2</f>
        <v>5500</v>
      </c>
      <c r="F32" s="62"/>
      <c r="G32" s="63"/>
    </row>
    <row r="33" spans="1:17" x14ac:dyDescent="0.25">
      <c r="H33" s="6" t="s">
        <v>5</v>
      </c>
    </row>
    <row r="34" spans="1:17" x14ac:dyDescent="0.25">
      <c r="A34" t="s">
        <v>182</v>
      </c>
      <c r="G34" s="2">
        <f>E31/K4</f>
        <v>7.6666666666666661E-2</v>
      </c>
      <c r="H34" t="s">
        <v>176</v>
      </c>
    </row>
    <row r="35" spans="1:17" x14ac:dyDescent="0.25">
      <c r="A35" t="s">
        <v>183</v>
      </c>
      <c r="G35" s="3">
        <f>K4/5500</f>
        <v>0.81818181818181823</v>
      </c>
      <c r="H35" t="s">
        <v>177</v>
      </c>
    </row>
    <row r="36" spans="1:17" ht="15.75" x14ac:dyDescent="0.25">
      <c r="H36" s="51" t="s">
        <v>178</v>
      </c>
    </row>
    <row r="37" spans="1:17" x14ac:dyDescent="0.25">
      <c r="N37" s="5">
        <f>L30</f>
        <v>488</v>
      </c>
      <c r="O37" s="62" t="s">
        <v>123</v>
      </c>
      <c r="P37" s="63">
        <f>N37/N38</f>
        <v>8.7927927927927932E-2</v>
      </c>
    </row>
    <row r="38" spans="1:17" ht="15.75" x14ac:dyDescent="0.25">
      <c r="H38" s="51" t="s">
        <v>179</v>
      </c>
      <c r="N38" s="4">
        <f>O4</f>
        <v>5550</v>
      </c>
      <c r="O38" s="62"/>
      <c r="P38" s="63"/>
    </row>
    <row r="40" spans="1:17" x14ac:dyDescent="0.25">
      <c r="O40" s="5">
        <f>N38</f>
        <v>5550</v>
      </c>
      <c r="P40" s="62" t="s">
        <v>123</v>
      </c>
      <c r="Q40" s="61">
        <f>O40/O41</f>
        <v>0.6166666666666667</v>
      </c>
    </row>
    <row r="41" spans="1:17" ht="15.75" x14ac:dyDescent="0.25">
      <c r="H41" s="51" t="s">
        <v>180</v>
      </c>
      <c r="O41" s="4">
        <f>L31</f>
        <v>9000</v>
      </c>
      <c r="P41" s="62"/>
      <c r="Q41" s="61"/>
    </row>
    <row r="43" spans="1:17" x14ac:dyDescent="0.25">
      <c r="K43">
        <v>2019</v>
      </c>
      <c r="L43">
        <v>2020</v>
      </c>
      <c r="M43">
        <v>2021</v>
      </c>
    </row>
    <row r="44" spans="1:17" x14ac:dyDescent="0.25">
      <c r="H44" t="s">
        <v>181</v>
      </c>
      <c r="K44" s="2">
        <v>6.2727272727272729E-2</v>
      </c>
      <c r="L44" s="2">
        <v>6.7428571428571435E-2</v>
      </c>
      <c r="M44" s="2">
        <f>N30</f>
        <v>5.422222222222222E-2</v>
      </c>
    </row>
    <row r="45" spans="1:17" x14ac:dyDescent="0.25">
      <c r="H45" t="s">
        <v>182</v>
      </c>
      <c r="K45" s="2">
        <v>7.6666666666666661E-2</v>
      </c>
      <c r="L45" s="2">
        <v>9.0769230769230769E-2</v>
      </c>
      <c r="M45" s="2">
        <f>P37</f>
        <v>8.7927927927927932E-2</v>
      </c>
    </row>
    <row r="46" spans="1:17" x14ac:dyDescent="0.25">
      <c r="H46" t="s">
        <v>183</v>
      </c>
      <c r="K46" s="53">
        <v>0.81818181818181823</v>
      </c>
      <c r="L46" s="53">
        <v>0.74285714285714288</v>
      </c>
      <c r="M46" s="53">
        <f>Q40</f>
        <v>0.6166666666666667</v>
      </c>
    </row>
    <row r="48" spans="1:17" x14ac:dyDescent="0.25">
      <c r="H48" t="s">
        <v>184</v>
      </c>
    </row>
    <row r="49" spans="8:8" x14ac:dyDescent="0.25">
      <c r="H49" t="s">
        <v>185</v>
      </c>
    </row>
    <row r="50" spans="8:8" x14ac:dyDescent="0.25">
      <c r="H50" t="s">
        <v>186</v>
      </c>
    </row>
  </sheetData>
  <mergeCells count="13">
    <mergeCell ref="A32:C32"/>
    <mergeCell ref="Q40:Q41"/>
    <mergeCell ref="F24:F25"/>
    <mergeCell ref="G24:G25"/>
    <mergeCell ref="A25:C25"/>
    <mergeCell ref="F31:F32"/>
    <mergeCell ref="G31:G32"/>
    <mergeCell ref="H31:J31"/>
    <mergeCell ref="M30:M31"/>
    <mergeCell ref="N30:N31"/>
    <mergeCell ref="O37:O38"/>
    <mergeCell ref="P37:P38"/>
    <mergeCell ref="P40:P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tabSelected="1" topLeftCell="A17" workbookViewId="0">
      <selection activeCell="J34" sqref="J34"/>
    </sheetView>
  </sheetViews>
  <sheetFormatPr baseColWidth="10" defaultRowHeight="15" x14ac:dyDescent="0.25"/>
  <cols>
    <col min="1" max="1" width="86.7109375" bestFit="1" customWidth="1"/>
  </cols>
  <sheetData>
    <row r="1" spans="1:1" x14ac:dyDescent="0.25">
      <c r="A1" s="6" t="s">
        <v>0</v>
      </c>
    </row>
    <row r="2" spans="1:1" x14ac:dyDescent="0.25">
      <c r="A2" s="6" t="s">
        <v>187</v>
      </c>
    </row>
    <row r="3" spans="1:1" ht="15.75" x14ac:dyDescent="0.25">
      <c r="A3" s="54" t="s">
        <v>200</v>
      </c>
    </row>
    <row r="4" spans="1:1" ht="15.75" x14ac:dyDescent="0.25">
      <c r="A4" s="54" t="s">
        <v>188</v>
      </c>
    </row>
    <row r="5" spans="1:1" ht="15.75" x14ac:dyDescent="0.25">
      <c r="A5" s="54" t="s">
        <v>189</v>
      </c>
    </row>
    <row r="6" spans="1:1" ht="15.75" x14ac:dyDescent="0.25">
      <c r="A6" s="54" t="s">
        <v>190</v>
      </c>
    </row>
    <row r="8" spans="1:1" ht="15.75" x14ac:dyDescent="0.25">
      <c r="A8" s="47" t="s">
        <v>191</v>
      </c>
    </row>
    <row r="9" spans="1:1" ht="15.75" x14ac:dyDescent="0.25">
      <c r="A9" s="54" t="s">
        <v>201</v>
      </c>
    </row>
    <row r="10" spans="1:1" ht="15.75" x14ac:dyDescent="0.25">
      <c r="A10" s="54" t="s">
        <v>202</v>
      </c>
    </row>
    <row r="11" spans="1:1" ht="15.75" x14ac:dyDescent="0.25">
      <c r="A11" s="54" t="s">
        <v>192</v>
      </c>
    </row>
    <row r="12" spans="1:1" ht="15.75" x14ac:dyDescent="0.25">
      <c r="A12" s="54" t="s">
        <v>193</v>
      </c>
    </row>
    <row r="13" spans="1:1" ht="15.75" x14ac:dyDescent="0.25">
      <c r="A13" s="54" t="s">
        <v>194</v>
      </c>
    </row>
    <row r="14" spans="1:1" ht="15.75" x14ac:dyDescent="0.25">
      <c r="A14" s="54" t="s">
        <v>195</v>
      </c>
    </row>
    <row r="15" spans="1:1" ht="15.75" x14ac:dyDescent="0.25">
      <c r="A15" s="54" t="s">
        <v>196</v>
      </c>
    </row>
    <row r="16" spans="1:1" ht="15.75" x14ac:dyDescent="0.25">
      <c r="A16" s="54" t="s">
        <v>197</v>
      </c>
    </row>
    <row r="17" spans="1:5" ht="15.75" x14ac:dyDescent="0.25">
      <c r="A17" s="54" t="s">
        <v>198</v>
      </c>
    </row>
    <row r="18" spans="1:5" ht="15.75" x14ac:dyDescent="0.25">
      <c r="A18" s="55" t="s">
        <v>199</v>
      </c>
    </row>
    <row r="20" spans="1:5" ht="15.75" x14ac:dyDescent="0.25">
      <c r="A20" s="47" t="s">
        <v>203</v>
      </c>
    </row>
    <row r="21" spans="1:5" s="6" customFormat="1" x14ac:dyDescent="0.25">
      <c r="A21" s="9">
        <v>44255</v>
      </c>
      <c r="D21" s="6" t="s">
        <v>87</v>
      </c>
      <c r="E21" s="6" t="s">
        <v>88</v>
      </c>
    </row>
    <row r="22" spans="1:5" ht="15.75" x14ac:dyDescent="0.25">
      <c r="A22" s="54" t="s">
        <v>204</v>
      </c>
      <c r="D22" s="1">
        <v>450000</v>
      </c>
      <c r="E22" s="1"/>
    </row>
    <row r="23" spans="1:5" ht="15.75" x14ac:dyDescent="0.25">
      <c r="A23" s="54" t="s">
        <v>205</v>
      </c>
      <c r="D23" s="1"/>
      <c r="E23" s="1">
        <v>450000</v>
      </c>
    </row>
    <row r="24" spans="1:5" x14ac:dyDescent="0.25">
      <c r="D24" s="1"/>
      <c r="E24" s="1"/>
    </row>
    <row r="25" spans="1:5" ht="15.75" x14ac:dyDescent="0.25">
      <c r="A25" s="54" t="s">
        <v>206</v>
      </c>
      <c r="D25" s="1"/>
      <c r="E25" s="1"/>
    </row>
    <row r="26" spans="1:5" ht="15.75" x14ac:dyDescent="0.25">
      <c r="A26" s="54" t="s">
        <v>207</v>
      </c>
      <c r="D26" s="1">
        <v>45000</v>
      </c>
      <c r="E26" s="1"/>
    </row>
    <row r="27" spans="1:5" ht="15.75" x14ac:dyDescent="0.25">
      <c r="A27" s="54" t="s">
        <v>204</v>
      </c>
      <c r="D27" s="1"/>
      <c r="E27" s="1">
        <v>45000</v>
      </c>
    </row>
    <row r="28" spans="1:5" x14ac:dyDescent="0.25">
      <c r="D28" s="1"/>
      <c r="E28" s="1"/>
    </row>
    <row r="29" spans="1:5" ht="15.75" x14ac:dyDescent="0.25">
      <c r="A29" s="54" t="s">
        <v>208</v>
      </c>
      <c r="D29" s="1"/>
      <c r="E29" s="1"/>
    </row>
    <row r="30" spans="1:5" ht="15.75" x14ac:dyDescent="0.25">
      <c r="A30" s="54" t="s">
        <v>209</v>
      </c>
      <c r="D30" s="1">
        <v>385000</v>
      </c>
      <c r="E30" s="1"/>
    </row>
    <row r="31" spans="1:5" ht="15.75" x14ac:dyDescent="0.25">
      <c r="A31" s="54" t="s">
        <v>210</v>
      </c>
      <c r="D31" s="1"/>
      <c r="E31" s="1">
        <v>385000</v>
      </c>
    </row>
    <row r="32" spans="1:5" ht="15.75" x14ac:dyDescent="0.25">
      <c r="A32" s="54" t="s">
        <v>211</v>
      </c>
      <c r="D32" s="1"/>
      <c r="E32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1</vt:lpstr>
      <vt:lpstr>Oppgave 2</vt:lpstr>
      <vt:lpstr>Oppgave 3</vt:lpstr>
      <vt:lpstr>Oppgave 4</vt:lpstr>
      <vt:lpstr>Oppgave 5</vt:lpstr>
      <vt:lpstr>Oppgave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Raul Boris Farina Briceno</cp:lastModifiedBy>
  <dcterms:created xsi:type="dcterms:W3CDTF">2022-04-07T17:21:23Z</dcterms:created>
  <dcterms:modified xsi:type="dcterms:W3CDTF">2022-06-02T06:58:44Z</dcterms:modified>
</cp:coreProperties>
</file>