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STUDIE\EKSAMEN\Eksamen Halden\Oppgavesett\VÅR 2022\ØIS\Sensorveiledninger\"/>
    </mc:Choice>
  </mc:AlternateContent>
  <xr:revisionPtr revIDLastSave="0" documentId="8_{833701AC-5235-465F-8758-DB2142A1DF03}" xr6:coauthVersionLast="36" xr6:coauthVersionMax="36" xr10:uidLastSave="{00000000-0000-0000-0000-000000000000}"/>
  <bookViews>
    <workbookView xWindow="0" yWindow="0" windowWidth="21570" windowHeight="9330" activeTab="4" xr2:uid="{00000000-000D-0000-FFFF-FFFF00000000}"/>
  </bookViews>
  <sheets>
    <sheet name="Oppgave 1" sheetId="9" r:id="rId1"/>
    <sheet name="Oppgave 2" sheetId="2" r:id="rId2"/>
    <sheet name="Oppgave 3" sheetId="7" r:id="rId3"/>
    <sheet name="Oppgave 4" sheetId="4" r:id="rId4"/>
    <sheet name="Oppgave 5" sheetId="8" r:id="rId5"/>
    <sheet name="Oppgave 6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4" l="1"/>
  <c r="K27" i="4"/>
  <c r="K25" i="4"/>
  <c r="J27" i="4"/>
  <c r="J25" i="4"/>
  <c r="J14" i="4"/>
  <c r="L27" i="4"/>
  <c r="L25" i="4"/>
  <c r="M21" i="4"/>
  <c r="K26" i="4" s="1"/>
  <c r="L26" i="4" l="1"/>
  <c r="L28" i="4"/>
  <c r="O86" i="7"/>
  <c r="O81" i="7"/>
  <c r="L79" i="7"/>
  <c r="L78" i="7"/>
  <c r="L51" i="7"/>
  <c r="O71" i="7"/>
  <c r="K69" i="7" l="1"/>
  <c r="K53" i="7"/>
  <c r="J52" i="7"/>
  <c r="I80" i="7"/>
  <c r="H80" i="7"/>
  <c r="I70" i="7"/>
  <c r="H70" i="7"/>
  <c r="I57" i="7"/>
  <c r="I59" i="7" s="1"/>
  <c r="I60" i="7" s="1"/>
  <c r="I61" i="7" s="1"/>
  <c r="H57" i="7"/>
  <c r="H59" i="7" s="1"/>
  <c r="L33" i="7"/>
  <c r="J27" i="7"/>
  <c r="J66" i="7" s="1"/>
  <c r="J29" i="7"/>
  <c r="L29" i="7" s="1"/>
  <c r="K28" i="7"/>
  <c r="L28" i="7" s="1"/>
  <c r="H36" i="7"/>
  <c r="L36" i="7" s="1"/>
  <c r="I37" i="7"/>
  <c r="I30" i="7"/>
  <c r="H30" i="7"/>
  <c r="J14" i="7"/>
  <c r="J15" i="7"/>
  <c r="I14" i="7"/>
  <c r="I15" i="7"/>
  <c r="H16" i="7"/>
  <c r="I16" i="7" s="1"/>
  <c r="H13" i="7"/>
  <c r="J32" i="7" s="1"/>
  <c r="L32" i="7" s="1"/>
  <c r="D36" i="7"/>
  <c r="C36" i="7"/>
  <c r="D30" i="7"/>
  <c r="C30" i="7"/>
  <c r="D19" i="7"/>
  <c r="D21" i="7" s="1"/>
  <c r="D22" i="7" s="1"/>
  <c r="C19" i="7"/>
  <c r="C21" i="7" s="1"/>
  <c r="C22" i="7" s="1"/>
  <c r="D10" i="7"/>
  <c r="C10" i="7"/>
  <c r="D5" i="7"/>
  <c r="C5" i="7"/>
  <c r="I36" i="9"/>
  <c r="I38" i="9" s="1"/>
  <c r="J43" i="9" s="1"/>
  <c r="J44" i="9"/>
  <c r="N44" i="9" s="1"/>
  <c r="I44" i="9"/>
  <c r="N10" i="9"/>
  <c r="I20" i="9"/>
  <c r="I22" i="9" s="1"/>
  <c r="I43" i="9" s="1"/>
  <c r="I9" i="9"/>
  <c r="B101" i="8"/>
  <c r="B102" i="8" s="1"/>
  <c r="B71" i="8"/>
  <c r="B70" i="8"/>
  <c r="B69" i="8"/>
  <c r="B68" i="8"/>
  <c r="B66" i="8"/>
  <c r="B65" i="8"/>
  <c r="B63" i="8"/>
  <c r="B62" i="8"/>
  <c r="B61" i="8"/>
  <c r="K15" i="4"/>
  <c r="K16" i="4"/>
  <c r="J16" i="4"/>
  <c r="J15" i="4"/>
  <c r="K14" i="4"/>
  <c r="K17" i="4"/>
  <c r="J17" i="4"/>
  <c r="K9" i="4"/>
  <c r="K8" i="4"/>
  <c r="K7" i="4"/>
  <c r="J9" i="4"/>
  <c r="J8" i="4"/>
  <c r="J7" i="4"/>
  <c r="J71" i="2"/>
  <c r="J60" i="2"/>
  <c r="H60" i="2"/>
  <c r="J48" i="2"/>
  <c r="J50" i="2"/>
  <c r="H50" i="2"/>
  <c r="L50" i="2" s="1"/>
  <c r="K40" i="2"/>
  <c r="M40" i="2" s="1"/>
  <c r="K39" i="2"/>
  <c r="K36" i="2"/>
  <c r="K41" i="2" s="1"/>
  <c r="M41" i="2" s="1"/>
  <c r="K32" i="2"/>
  <c r="J33" i="2"/>
  <c r="I34" i="2"/>
  <c r="L19" i="2"/>
  <c r="J17" i="2"/>
  <c r="J26" i="2" s="1"/>
  <c r="J52" i="2" s="1"/>
  <c r="H17" i="2"/>
  <c r="H26" i="2" s="1"/>
  <c r="H52" i="2" s="1"/>
  <c r="J19" i="2"/>
  <c r="H19" i="2"/>
  <c r="J5" i="2"/>
  <c r="J4" i="2"/>
  <c r="J6" i="2" s="1"/>
  <c r="C5" i="2"/>
  <c r="E8" i="6"/>
  <c r="D8" i="6"/>
  <c r="C8" i="6"/>
  <c r="D3" i="6"/>
  <c r="D4" i="6" s="1"/>
  <c r="C3" i="6"/>
  <c r="C5" i="6" s="1"/>
  <c r="H65" i="2" l="1"/>
  <c r="H67" i="2" s="1"/>
  <c r="H69" i="2" s="1"/>
  <c r="H56" i="2"/>
  <c r="H57" i="2" s="1"/>
  <c r="J65" i="2"/>
  <c r="J66" i="2" s="1"/>
  <c r="J56" i="2"/>
  <c r="J57" i="2" s="1"/>
  <c r="L17" i="2"/>
  <c r="K33" i="2"/>
  <c r="K34" i="2" s="1"/>
  <c r="H23" i="2"/>
  <c r="J23" i="2"/>
  <c r="K37" i="2"/>
  <c r="H48" i="2"/>
  <c r="D5" i="6"/>
  <c r="B5" i="6" s="1"/>
  <c r="I45" i="9"/>
  <c r="I46" i="9" s="1"/>
  <c r="I54" i="9" s="1"/>
  <c r="L17" i="4"/>
  <c r="L15" i="4"/>
  <c r="L16" i="4"/>
  <c r="O69" i="7"/>
  <c r="O79" i="7"/>
  <c r="J54" i="7"/>
  <c r="L52" i="7" s="1"/>
  <c r="O82" i="7"/>
  <c r="K66" i="7"/>
  <c r="O72" i="7" s="1"/>
  <c r="J56" i="7"/>
  <c r="L56" i="7" s="1"/>
  <c r="L27" i="7"/>
  <c r="J68" i="7"/>
  <c r="L68" i="7" s="1"/>
  <c r="J72" i="7"/>
  <c r="L72" i="7" s="1"/>
  <c r="H37" i="7"/>
  <c r="K67" i="7"/>
  <c r="L67" i="7" s="1"/>
  <c r="H60" i="7"/>
  <c r="K35" i="7"/>
  <c r="H17" i="7"/>
  <c r="J13" i="7"/>
  <c r="J16" i="7"/>
  <c r="I13" i="7"/>
  <c r="I17" i="7" s="1"/>
  <c r="I19" i="7" s="1"/>
  <c r="J26" i="7" s="1"/>
  <c r="D23" i="7"/>
  <c r="C23" i="7"/>
  <c r="J45" i="9"/>
  <c r="J46" i="9" s="1"/>
  <c r="N43" i="9"/>
  <c r="N45" i="9" s="1"/>
  <c r="J50" i="9"/>
  <c r="I50" i="9"/>
  <c r="I28" i="9"/>
  <c r="I31" i="9" s="1"/>
  <c r="N9" i="9"/>
  <c r="N16" i="9" s="1"/>
  <c r="I10" i="9"/>
  <c r="B64" i="8"/>
  <c r="B67" i="8" s="1"/>
  <c r="L7" i="4"/>
  <c r="L8" i="4"/>
  <c r="L9" i="4"/>
  <c r="L14" i="4"/>
  <c r="J67" i="2"/>
  <c r="J69" i="2" s="1"/>
  <c r="J72" i="2" s="1"/>
  <c r="J73" i="2" s="1"/>
  <c r="J75" i="2" s="1"/>
  <c r="L67" i="2"/>
  <c r="L69" i="2"/>
  <c r="L58" i="2"/>
  <c r="L60" i="2"/>
  <c r="L48" i="2"/>
  <c r="D6" i="6"/>
  <c r="D7" i="6" s="1"/>
  <c r="D10" i="6" s="1"/>
  <c r="C6" i="6"/>
  <c r="C4" i="6"/>
  <c r="B4" i="6" s="1"/>
  <c r="L66" i="7" l="1"/>
  <c r="C7" i="6"/>
  <c r="C10" i="6" s="1"/>
  <c r="O70" i="7"/>
  <c r="O73" i="7" s="1"/>
  <c r="O74" i="7" s="1"/>
  <c r="K76" i="7" s="1"/>
  <c r="J74" i="7" s="1"/>
  <c r="L18" i="4"/>
  <c r="H61" i="7"/>
  <c r="O80" i="7"/>
  <c r="O84" i="7"/>
  <c r="J77" i="7"/>
  <c r="L26" i="7"/>
  <c r="L30" i="7" s="1"/>
  <c r="J65" i="7"/>
  <c r="L35" i="7"/>
  <c r="K77" i="7"/>
  <c r="J37" i="7"/>
  <c r="J17" i="7"/>
  <c r="K34" i="7" s="1"/>
  <c r="K75" i="7" s="1"/>
  <c r="L75" i="7" s="1"/>
  <c r="J47" i="9"/>
  <c r="J54" i="9"/>
  <c r="N46" i="9"/>
  <c r="N50" i="9"/>
  <c r="I47" i="9"/>
  <c r="I55" i="9" s="1"/>
  <c r="I56" i="9" s="1"/>
  <c r="N11" i="9"/>
  <c r="N12" i="9" s="1"/>
  <c r="N20" i="9" s="1"/>
  <c r="I11" i="9"/>
  <c r="I12" i="9" s="1"/>
  <c r="I13" i="9" s="1"/>
  <c r="I16" i="9"/>
  <c r="I26" i="9"/>
  <c r="L10" i="4"/>
  <c r="B6" i="6"/>
  <c r="E6" i="6" s="1"/>
  <c r="E10" i="6" s="1"/>
  <c r="B7" i="6" l="1"/>
  <c r="B10" i="6" s="1"/>
  <c r="N17" i="9"/>
  <c r="N18" i="9" s="1"/>
  <c r="I51" i="9"/>
  <c r="K60" i="7"/>
  <c r="L60" i="7" s="1"/>
  <c r="L77" i="7"/>
  <c r="O78" i="7"/>
  <c r="K65" i="7"/>
  <c r="K37" i="7"/>
  <c r="L34" i="7"/>
  <c r="L37" i="7" s="1"/>
  <c r="N54" i="9"/>
  <c r="J55" i="9"/>
  <c r="N55" i="9" s="1"/>
  <c r="N47" i="9"/>
  <c r="N13" i="9"/>
  <c r="N21" i="9" s="1"/>
  <c r="N22" i="9" s="1"/>
  <c r="I32" i="9"/>
  <c r="I27" i="9"/>
  <c r="I33" i="9" s="1"/>
  <c r="J56" i="9" l="1"/>
  <c r="N56" i="9" s="1"/>
  <c r="J51" i="9"/>
  <c r="I52" i="9"/>
  <c r="J55" i="7"/>
  <c r="L55" i="7" s="1"/>
  <c r="L57" i="7" s="1"/>
  <c r="L59" i="7" s="1"/>
  <c r="O83" i="7"/>
  <c r="O85" i="7"/>
  <c r="O87" i="7" s="1"/>
  <c r="L65" i="7"/>
  <c r="L70" i="7" s="1"/>
  <c r="K61" i="7"/>
  <c r="L61" i="7" s="1"/>
  <c r="N51" i="9" l="1"/>
  <c r="J52" i="9"/>
  <c r="N52" i="9" s="1"/>
  <c r="K80" i="7"/>
  <c r="J73" i="7"/>
  <c r="J80" i="7" l="1"/>
  <c r="L73" i="7"/>
  <c r="L80" i="7" s="1"/>
</calcChain>
</file>

<file path=xl/sharedStrings.xml><?xml version="1.0" encoding="utf-8"?>
<sst xmlns="http://schemas.openxmlformats.org/spreadsheetml/2006/main" count="489" uniqueCount="278">
  <si>
    <t>a)</t>
  </si>
  <si>
    <t>b)</t>
  </si>
  <si>
    <t>Utsatt skatt</t>
  </si>
  <si>
    <t>c)</t>
  </si>
  <si>
    <t xml:space="preserve"> -Sv</t>
  </si>
  <si>
    <t>Endring</t>
  </si>
  <si>
    <t>Resultat før skattekostnad</t>
  </si>
  <si>
    <t>Skattekostnad</t>
  </si>
  <si>
    <t>Årsresultat</t>
  </si>
  <si>
    <t>Resultatregnskap 2021</t>
  </si>
  <si>
    <t>Skjema midlertidige forskjeller</t>
  </si>
  <si>
    <t>Sum</t>
  </si>
  <si>
    <t>Bygg</t>
  </si>
  <si>
    <t>Tekniske installasjoner</t>
  </si>
  <si>
    <t>Avskrivning/nedskrivning 2019</t>
  </si>
  <si>
    <t>Sum før nedskrivning</t>
  </si>
  <si>
    <t>Nedskrivning</t>
  </si>
  <si>
    <t>Avskrivning/nedskrivning</t>
  </si>
  <si>
    <t>og balanseverdi 31.12.2019</t>
  </si>
  <si>
    <t xml:space="preserve">Kandidatene skal her komme fram til IAS 40. Etter denne standarden foretas ikke avskrivning eller </t>
  </si>
  <si>
    <t>nedskrivning eller reversering.</t>
  </si>
  <si>
    <t xml:space="preserve">Ettersom verdien øker fra kr 25 mill til kr 28 mill i balansen, foretas verdijustering over </t>
  </si>
  <si>
    <t>resultatregnskapet (ordinært resultat) med kr 3 mill i 2021.</t>
  </si>
  <si>
    <t>Betalbar skatt</t>
  </si>
  <si>
    <t>Balansen per 31.12</t>
  </si>
  <si>
    <t>Løsningsforslag:</t>
  </si>
  <si>
    <t>Skattegrunnlag for 2021</t>
  </si>
  <si>
    <t>Skatteprosent for begge årene</t>
  </si>
  <si>
    <t>Differanse</t>
  </si>
  <si>
    <t>Dette skyldes (netto) permanente resultatforskjeler -dvs. skattemessige ikke</t>
  </si>
  <si>
    <t>Utsatt skattegjeld</t>
  </si>
  <si>
    <t>Rv</t>
  </si>
  <si>
    <t>Skattemessig økende midlertidig forskjell</t>
  </si>
  <si>
    <t xml:space="preserve"> -</t>
  </si>
  <si>
    <t>Dette betyr at skattemessig verdi for</t>
  </si>
  <si>
    <t>varelageret er lavere enn regnskaps-</t>
  </si>
  <si>
    <t>messig verdi med:</t>
  </si>
  <si>
    <t>Det er oppgitt i oppgaven at differansen mellom regnskapsmessig og skattemessig verdi er 20 %. Når differansen er 20 % må</t>
  </si>
  <si>
    <t>regnskapsmessig verdi være</t>
  </si>
  <si>
    <t>Nytt resultat</t>
  </si>
  <si>
    <t>Skattemessig resultat er satt for høyt med 80 % av kr 100 000</t>
  </si>
  <si>
    <t>Skatter i balansen reduseres med</t>
  </si>
  <si>
    <t>Utsatt skatt reduseres med</t>
  </si>
  <si>
    <t>Betalbar skatt reduseres med</t>
  </si>
  <si>
    <t>til</t>
  </si>
  <si>
    <t>Oppgaven kan også løses slik:</t>
  </si>
  <si>
    <t>Tidligere utsatt skatt</t>
  </si>
  <si>
    <t>Ny beregnet utsatt skatt</t>
  </si>
  <si>
    <t>Reduksjon</t>
  </si>
  <si>
    <t>Dermed må skattemessige økende midlertidige forskjeller reduseres med 20 000 til</t>
  </si>
  <si>
    <t>Betalbar skatt blir da redusert med</t>
  </si>
  <si>
    <t>fradragsberettigede poster.</t>
  </si>
  <si>
    <t>Fra skjema midlertidige forskjeller i spm. b).</t>
  </si>
  <si>
    <t>Vi regnet ut at regnskapsmessig verdi var</t>
  </si>
  <si>
    <t>Skjemaet midlertidige forskjeller blir da:</t>
  </si>
  <si>
    <t>Siden regnskapsmessig verdi er 100 000 for høyt blir skjema for midlertidige forskjeller slik:</t>
  </si>
  <si>
    <t>omkostninger</t>
  </si>
  <si>
    <t>Antall aksjer</t>
  </si>
  <si>
    <t>solgt 30.11.21</t>
  </si>
  <si>
    <t>Salgssum</t>
  </si>
  <si>
    <t>Markedsverdi</t>
  </si>
  <si>
    <t>per aksje</t>
  </si>
  <si>
    <t>per 31.12.21</t>
  </si>
  <si>
    <t>kjøpt</t>
  </si>
  <si>
    <t>Kjøpesum inkl.</t>
  </si>
  <si>
    <t>Kjøpstidspunkt</t>
  </si>
  <si>
    <t>Alfa ASA</t>
  </si>
  <si>
    <t>Beta ASA</t>
  </si>
  <si>
    <t>Zeta ASA</t>
  </si>
  <si>
    <t xml:space="preserve">Alternativene fremgår av rskl § 5-8 og er laveste verdis prinsipp og markedsverdiprinsippet. </t>
  </si>
  <si>
    <t xml:space="preserve">Kandidaten kan drøfte vilkårene for bruk av markedsverdiprinsippet i rskl § 5-8 første ledd nr 1 – 4. </t>
  </si>
  <si>
    <t>Markedsverdi:</t>
  </si>
  <si>
    <t>Antall</t>
  </si>
  <si>
    <t>Verdi</t>
  </si>
  <si>
    <t>Laveste verdis prinsipp:</t>
  </si>
  <si>
    <t>En meget god besvarelse nevner også laveste verdis prinsipp med porteføljevurdering. Dette er kun</t>
  </si>
  <si>
    <t xml:space="preserve">omtalt som tillatt regnskapsprinsipp i forarbeidene til regnskapsloven. Etter dette prinsippet kan </t>
  </si>
  <si>
    <t>urealisert tap på Zeta AS utlignes mot urealiserte gevinster på Alfa AS og Beta AS.</t>
  </si>
  <si>
    <t>Urealisert tap på Zeta AS = 800 * 100 = 80.000.</t>
  </si>
  <si>
    <t>Urealisert gevinst på Alfa AS og Beta AS overstiger dette.</t>
  </si>
  <si>
    <t>Verdien etter laveste verdis prinsipp med porteføljevurdering blir da (814.000 + 80.000) = 894.000.</t>
  </si>
  <si>
    <t>Du skal bruke disse dataene til å besvare spørsmålene under.</t>
  </si>
  <si>
    <t>Resultatregnskap</t>
  </si>
  <si>
    <t>År</t>
  </si>
  <si>
    <t xml:space="preserve">År 5 </t>
  </si>
  <si>
    <t>År 4</t>
  </si>
  <si>
    <t>År 3</t>
  </si>
  <si>
    <t>År 2</t>
  </si>
  <si>
    <t>År 1</t>
  </si>
  <si>
    <t>Driftsinntekter</t>
  </si>
  <si>
    <t>Salgsinntekter</t>
  </si>
  <si>
    <t>Andre driftsinntekter</t>
  </si>
  <si>
    <t xml:space="preserve"> -   </t>
  </si>
  <si>
    <t>Vareforbruk</t>
  </si>
  <si>
    <t>Lønn</t>
  </si>
  <si>
    <t>Avskrivning</t>
  </si>
  <si>
    <t>Drifts kostnader andre</t>
  </si>
  <si>
    <t>Driftsresultat</t>
  </si>
  <si>
    <t>Finansinntekter</t>
  </si>
  <si>
    <t>Finanskostnader</t>
  </si>
  <si>
    <t>Resultat før skatt</t>
  </si>
  <si>
    <t>Balanseregnskap</t>
  </si>
  <si>
    <t>Sum anleggsmidler</t>
  </si>
  <si>
    <t>Sum immaterielle midler</t>
  </si>
  <si>
    <t>Utsatt skattefordel</t>
  </si>
  <si>
    <t>Goodwill</t>
  </si>
  <si>
    <t>Sum varige driftsmidler</t>
  </si>
  <si>
    <t>Maskiner</t>
  </si>
  <si>
    <t>Driftsløsøre</t>
  </si>
  <si>
    <t>Andre anleggsmidler</t>
  </si>
  <si>
    <t>Sum omløpsmidler</t>
  </si>
  <si>
    <t>Sum varelager</t>
  </si>
  <si>
    <t>Lager ferdigvarer</t>
  </si>
  <si>
    <t>Sum fordringer</t>
  </si>
  <si>
    <t>Kundefordringer</t>
  </si>
  <si>
    <t>Annen fordring</t>
  </si>
  <si>
    <t>Kassebeholdning</t>
  </si>
  <si>
    <t>Andre omløpsmidler</t>
  </si>
  <si>
    <t>Sum eiendeler</t>
  </si>
  <si>
    <t>Sum egenkapital</t>
  </si>
  <si>
    <t>Innskutt egenkapital</t>
  </si>
  <si>
    <t>Selskapskapital</t>
  </si>
  <si>
    <t>Egne aksjer</t>
  </si>
  <si>
    <t>Opptjent egenkapital</t>
  </si>
  <si>
    <t>Annen egenkapital</t>
  </si>
  <si>
    <t>Sum gjeld</t>
  </si>
  <si>
    <t>Sum langsiktig gjeld</t>
  </si>
  <si>
    <t>Avsetning for forpliktelser</t>
  </si>
  <si>
    <t>Sum kortsiktig gjeld</t>
  </si>
  <si>
    <t>Leverandørgjeld</t>
  </si>
  <si>
    <t>Skyldige offentlige avgifter</t>
  </si>
  <si>
    <t>Konsern gjeld kortsiktig</t>
  </si>
  <si>
    <t>Annen kortsiktig gjeld</t>
  </si>
  <si>
    <t>Sum EK og gjeld</t>
  </si>
  <si>
    <t>Forutsett at finanskostnader i sin helhet er lånekostnader</t>
  </si>
  <si>
    <t>Bruttofortjenesteprosenten</t>
  </si>
  <si>
    <t>Resultatgraden</t>
  </si>
  <si>
    <t>Kapitalens omløpshastighet</t>
  </si>
  <si>
    <t>Totalkapitalens rentabilitet</t>
  </si>
  <si>
    <t>Gjeldsgraden</t>
  </si>
  <si>
    <t>Egenkapitalens rentabilitet</t>
  </si>
  <si>
    <t>Egenkapitalprosent</t>
  </si>
  <si>
    <t>Arbeidskapitalen i % av driftsinntektene</t>
  </si>
  <si>
    <t>Likviditetsgrad 1</t>
  </si>
  <si>
    <t>Likviditetsgrad 2</t>
  </si>
  <si>
    <t>Marker også retningen</t>
  </si>
  <si>
    <t>Øker</t>
  </si>
  <si>
    <t>Minker</t>
  </si>
  <si>
    <t xml:space="preserve"> - Gjeldsgraden er økt</t>
  </si>
  <si>
    <t xml:space="preserve"> - Gjeldsgraden er redusert</t>
  </si>
  <si>
    <t xml:space="preserve"> - Gjennomsnittlig rentekostnader i % har økt</t>
  </si>
  <si>
    <t xml:space="preserve"> - Gjennomsnittlig rentekostnader i % er redusert</t>
  </si>
  <si>
    <t>x</t>
  </si>
  <si>
    <t xml:space="preserve"> - Totalkapitalrentabiliteten er økt</t>
  </si>
  <si>
    <t xml:space="preserve"> - Egenkapitalprosenten har økt</t>
  </si>
  <si>
    <t xml:space="preserve"> - Likviditetsgrad 1 er redusert</t>
  </si>
  <si>
    <t xml:space="preserve"> - Forbedret</t>
  </si>
  <si>
    <t>X</t>
  </si>
  <si>
    <t xml:space="preserve"> - Forverret</t>
  </si>
  <si>
    <t xml:space="preserve"> - Uendret</t>
  </si>
  <si>
    <t xml:space="preserve"> - Gjennomsnittlig pris per enhet er økt</t>
  </si>
  <si>
    <t xml:space="preserve"> - Gjennomsnittlig pris per enhet er redusert</t>
  </si>
  <si>
    <t xml:space="preserve"> - Gjennomsnittlig varekostnad per enhet er økt</t>
  </si>
  <si>
    <t xml:space="preserve"> - Gjennomsnittlig varekostnad per enhet er redusert</t>
  </si>
  <si>
    <t xml:space="preserve"> - Det er solgt færre enheter</t>
  </si>
  <si>
    <t xml:space="preserve"> - Det er solgt flere enheter</t>
  </si>
  <si>
    <t>Avansen i %</t>
  </si>
  <si>
    <t>a) Her skal du gjøre dine beregninger (bruk en desimal):</t>
  </si>
  <si>
    <t>b) Hva påvirker endringen i egenkapitalrentabiliteten fra År 4 til År 5? Sett X ved riktig(e) påstand(er)</t>
  </si>
  <si>
    <t>c) Hva har skjedd med likviditeten fra År 4 til År 5? Sett X ved riktig påstand</t>
  </si>
  <si>
    <t>NB! Dette er ikke gjennomgått i undervisning. Dersom en kandidat ligger og vipper mellom to</t>
  </si>
  <si>
    <t>karakterer vil dette være med å vippe vedkommende opp.</t>
  </si>
  <si>
    <t>Under ser du regnskapsdata fra IT-huset Oslo AS.</t>
  </si>
  <si>
    <t>Opplysninger fra oppgaven:</t>
  </si>
  <si>
    <t>Anslåtte totalkostnader</t>
  </si>
  <si>
    <t>Påløpte kostnader 31.12.21</t>
  </si>
  <si>
    <t>NRS 2 punkt 24 gir løpende avregning som hovedregel.</t>
  </si>
  <si>
    <t>Skatteprosent</t>
  </si>
  <si>
    <t>Kontraktspris</t>
  </si>
  <si>
    <t>Kontrkaten er foreløpig behandlet slik:</t>
  </si>
  <si>
    <t>Kostnader</t>
  </si>
  <si>
    <t>Øning varebeholdning</t>
  </si>
  <si>
    <t>Balansen per 31.12.21</t>
  </si>
  <si>
    <t>Løpende avregningsmetode:</t>
  </si>
  <si>
    <t>Fullføringsgrad 2021</t>
  </si>
  <si>
    <t>Opptjent inntekt 2021 (salgsinntekter)</t>
  </si>
  <si>
    <t>Følgende posteringer må gjøres:</t>
  </si>
  <si>
    <t>Resultatregnskapet</t>
  </si>
  <si>
    <t>Debet skattekostnad</t>
  </si>
  <si>
    <t>Debet kundefordringer (opptjent)</t>
  </si>
  <si>
    <t>Kredit salgsinntekter</t>
  </si>
  <si>
    <t>Kredit anleggskontrakter (varebeholdning)</t>
  </si>
  <si>
    <t>Anleggskontrakter (varebeholdning)</t>
  </si>
  <si>
    <t>Debet reduksjon varebeholdning</t>
  </si>
  <si>
    <t>Kredit utsatt skattegjeld</t>
  </si>
  <si>
    <t>Korrigert årsregsnkap for 2021:</t>
  </si>
  <si>
    <t>Annen EK</t>
  </si>
  <si>
    <t>Sum økning EK og gjeld</t>
  </si>
  <si>
    <t>Sum netto økning eiendeler</t>
  </si>
  <si>
    <t>Ny fullføringsgrad:</t>
  </si>
  <si>
    <t>Før nye opplysninger</t>
  </si>
  <si>
    <t>Nytt korrigert regnskap med nye opplysninger</t>
  </si>
  <si>
    <t>Nye totale anslåtte kostnader</t>
  </si>
  <si>
    <t>Balansen til selskapene per 31.12.2020:</t>
  </si>
  <si>
    <t>Mor AS</t>
  </si>
  <si>
    <t>Datter AS</t>
  </si>
  <si>
    <t>Anleggsmidler</t>
  </si>
  <si>
    <t>Aksjekapital</t>
  </si>
  <si>
    <t>Gjeld</t>
  </si>
  <si>
    <t>Sum gjeld og egenkapital</t>
  </si>
  <si>
    <t>Årsregnskapet for 2021:</t>
  </si>
  <si>
    <t>Kostnader ekskl. avskrivninger</t>
  </si>
  <si>
    <t>Avskrivninger</t>
  </si>
  <si>
    <t>Netto finanskostnad</t>
  </si>
  <si>
    <t>Balansen</t>
  </si>
  <si>
    <t>Aksjer i Datter AS</t>
  </si>
  <si>
    <t>Omløpsmidler</t>
  </si>
  <si>
    <t xml:space="preserve">Kandidatene bør starte med å henvise til NRS 17, og gi en kort oversikt over hva standarden </t>
  </si>
  <si>
    <t xml:space="preserve">legger i begrepet. Gode besvarelser vil fokusere på at det ikke nødvendigvis oppnår kontroll </t>
  </si>
  <si>
    <t>med mer enn 50 % eierskap. Dersom man eier mer enn 50 %, kan innflytelsen være begrenset</t>
  </si>
  <si>
    <t xml:space="preserve">av avtaler. Dersom man eier mindre enn 50 %, så kan man f.eks. likevel ha kontroll som følge </t>
  </si>
  <si>
    <t>av sprett eierskap. Det sentrale er at studentene viser at de forstår begrepet «kontroll».</t>
  </si>
  <si>
    <t>Merverdianalyse</t>
  </si>
  <si>
    <t>Baøanseført EK Datter AS</t>
  </si>
  <si>
    <t>Merverdi AM</t>
  </si>
  <si>
    <t>Merverdi OM</t>
  </si>
  <si>
    <t>Substansverdi</t>
  </si>
  <si>
    <t>Anskaffelseskost aksjer</t>
  </si>
  <si>
    <t>GW</t>
  </si>
  <si>
    <t xml:space="preserve">Det er her snakk om anskaffet FoU, og det har funnet sted en transaksjon gjennom oppkjøpet. </t>
  </si>
  <si>
    <t xml:space="preserve">Det er følgelig ikke grunnlag for å benytte valgadgangen i regnskapsloven til ikke balanseføre </t>
  </si>
  <si>
    <t xml:space="preserve">egenutviklet FoU. Balanseføring gjør at vi i fremtiden for en mer «riktig» driftsresultat </t>
  </si>
  <si>
    <t xml:space="preserve">gjennom at balanseført FoU skal avskrives over forventet levetid. Studentene bør diskutere </t>
  </si>
  <si>
    <t xml:space="preserve">6.1.5. Det sentrale er ikke henvisningene, men diskusjonen. </t>
  </si>
  <si>
    <t>d)</t>
  </si>
  <si>
    <t>Åpningsbalanse</t>
  </si>
  <si>
    <t>Eliminering</t>
  </si>
  <si>
    <t>Debet</t>
  </si>
  <si>
    <t>Kredit</t>
  </si>
  <si>
    <t>Konsern</t>
  </si>
  <si>
    <t>Minoritetsinteresse</t>
  </si>
  <si>
    <t>Avskrivninger GW</t>
  </si>
  <si>
    <t>Avskrivninger AM for øvrig</t>
  </si>
  <si>
    <t>Avskrivning merverdi AM:</t>
  </si>
  <si>
    <t>2 200 000/10 = 220 000.</t>
  </si>
  <si>
    <t>Elimineringer på oppkjøpstidspunkt.</t>
  </si>
  <si>
    <t>Avskrivning GW: 876 800/10 = 87 680.</t>
  </si>
  <si>
    <t>Merverdi varer på oppkjøpstidspunkt</t>
  </si>
  <si>
    <t>er realisert i løpet av 2021.</t>
  </si>
  <si>
    <t>Internt salg av varer fra Mor As til</t>
  </si>
  <si>
    <t>Datter AS: 3 000 000.</t>
  </si>
  <si>
    <t xml:space="preserve">Intern gevinst varer på varer solgt fra </t>
  </si>
  <si>
    <t>Mor AS til Datter AS (3 000 000 -</t>
  </si>
  <si>
    <t>2 000 000)*50 % = 500 000).</t>
  </si>
  <si>
    <t>Utsatt skatt knyttet til nedtagning av</t>
  </si>
  <si>
    <t>merverdier og intern gevinst salg av</t>
  </si>
  <si>
    <t>varer: (220 000 + 200 000 + 500 000)*22%</t>
  </si>
  <si>
    <t xml:space="preserve"> = 202 400).</t>
  </si>
  <si>
    <t>Annen EK korrigeres med 805 280.</t>
  </si>
  <si>
    <t>Datter AS årsresultat</t>
  </si>
  <si>
    <t>Datters andel</t>
  </si>
  <si>
    <t>Kontroll av annen EK konsernet (ikke en del av oppgaven):</t>
  </si>
  <si>
    <t>Mors årsresultat</t>
  </si>
  <si>
    <t>60 % av datters årsresultat</t>
  </si>
  <si>
    <t>60 % avskrvning AM</t>
  </si>
  <si>
    <t>60 % merverdi varer</t>
  </si>
  <si>
    <t>Avskrivning GW</t>
  </si>
  <si>
    <t>Annen EK 1.1</t>
  </si>
  <si>
    <t>Annen EK 31.12.</t>
  </si>
  <si>
    <t>Interngevinst</t>
  </si>
  <si>
    <t>til konsernresultatet:</t>
  </si>
  <si>
    <t>Minoriteten sitt bidrag</t>
  </si>
  <si>
    <t>Alternativt:</t>
  </si>
  <si>
    <t>Gjennomsnittlig anskaffelseskost Beta ASA</t>
  </si>
  <si>
    <t>d) Hva har skjedd med finansieringen fra År 2 til År 3? Sett X ved riktig påstand</t>
  </si>
  <si>
    <t>e) Hva kan normalt være mulige årsaken(e) til endringen i bruttofortjenesteprosenten fra År 4 til År 5 være? Sett X ved riktig(e) påstand(er)</t>
  </si>
  <si>
    <t>gf Avanse i kr= Salgsinntekter - varekostnadene</t>
  </si>
  <si>
    <t>Gjennomsnittlig rentekostnad i % av gjeld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</si>
</sst>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632523"/>
      <name val="Calibri"/>
      <family val="2"/>
      <scheme val="minor"/>
    </font>
    <font>
      <b/>
      <sz val="12"/>
      <color rgb="FF632523"/>
      <name val="Calibri"/>
      <family val="2"/>
      <scheme val="minor"/>
    </font>
    <font>
      <sz val="11"/>
      <color rgb="FF632523"/>
      <name val="Calibri"/>
      <family val="2"/>
      <scheme val="minor"/>
    </font>
    <font>
      <sz val="14"/>
      <color rgb="FF632523"/>
      <name val="Calibri"/>
      <family val="2"/>
      <scheme val="minor"/>
    </font>
    <font>
      <sz val="14"/>
      <color rgb="FF4F6228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rgb="FF2D899E"/>
        <bgColor rgb="FF000000"/>
      </patternFill>
    </fill>
    <fill>
      <patternFill patternType="solid">
        <fgColor rgb="FFEFEFEF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4">
    <xf numFmtId="0" fontId="0" fillId="0" borderId="0" xfId="0"/>
    <xf numFmtId="164" fontId="0" fillId="0" borderId="0" xfId="1" applyNumberFormat="1" applyFont="1"/>
    <xf numFmtId="10" fontId="0" fillId="0" borderId="0" xfId="0" applyNumberFormat="1"/>
    <xf numFmtId="43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0" fontId="2" fillId="0" borderId="0" xfId="0" applyFont="1"/>
    <xf numFmtId="164" fontId="2" fillId="0" borderId="0" xfId="0" applyNumberFormat="1" applyFont="1"/>
    <xf numFmtId="0" fontId="0" fillId="0" borderId="1" xfId="0" applyBorder="1"/>
    <xf numFmtId="0" fontId="0" fillId="0" borderId="0" xfId="0" applyFont="1"/>
    <xf numFmtId="164" fontId="2" fillId="0" borderId="0" xfId="1" applyNumberFormat="1" applyFont="1"/>
    <xf numFmtId="164" fontId="0" fillId="0" borderId="1" xfId="1" applyNumberFormat="1" applyFont="1" applyBorder="1"/>
    <xf numFmtId="164" fontId="0" fillId="0" borderId="0" xfId="1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2" xfId="1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14" fontId="0" fillId="0" borderId="0" xfId="0" applyNumberFormat="1"/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0" fillId="0" borderId="3" xfId="1" applyNumberFormat="1" applyFont="1" applyBorder="1"/>
    <xf numFmtId="14" fontId="0" fillId="0" borderId="4" xfId="1" applyNumberFormat="1" applyFont="1" applyBorder="1"/>
    <xf numFmtId="14" fontId="0" fillId="0" borderId="5" xfId="1" applyNumberFormat="1" applyFont="1" applyBorder="1"/>
    <xf numFmtId="14" fontId="0" fillId="0" borderId="6" xfId="1" applyNumberFormat="1" applyFont="1" applyBorder="1"/>
    <xf numFmtId="14" fontId="0" fillId="0" borderId="3" xfId="0" applyNumberFormat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164" fontId="2" fillId="0" borderId="6" xfId="1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0" fontId="8" fillId="3" borderId="0" xfId="0" applyFont="1" applyFill="1"/>
    <xf numFmtId="3" fontId="8" fillId="3" borderId="0" xfId="0" applyNumberFormat="1" applyFont="1" applyFill="1"/>
    <xf numFmtId="3" fontId="5" fillId="0" borderId="0" xfId="0" applyNumberFormat="1" applyFont="1"/>
    <xf numFmtId="0" fontId="5" fillId="3" borderId="0" xfId="0" applyFont="1" applyFill="1"/>
    <xf numFmtId="3" fontId="5" fillId="3" borderId="0" xfId="0" applyNumberFormat="1" applyFont="1" applyFill="1"/>
    <xf numFmtId="0" fontId="8" fillId="0" borderId="0" xfId="0" applyFont="1"/>
    <xf numFmtId="3" fontId="8" fillId="0" borderId="0" xfId="0" applyNumberFormat="1" applyFont="1"/>
    <xf numFmtId="0" fontId="9" fillId="3" borderId="0" xfId="0" applyFont="1" applyFill="1"/>
    <xf numFmtId="0" fontId="9" fillId="0" borderId="0" xfId="0" applyFont="1"/>
    <xf numFmtId="0" fontId="4" fillId="4" borderId="0" xfId="0" applyFont="1" applyFill="1"/>
    <xf numFmtId="3" fontId="4" fillId="4" borderId="0" xfId="0" applyNumberFormat="1" applyFont="1" applyFill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4" fontId="14" fillId="0" borderId="0" xfId="0" applyNumberFormat="1" applyFont="1"/>
    <xf numFmtId="4" fontId="15" fillId="0" borderId="0" xfId="0" applyNumberFormat="1" applyFont="1"/>
    <xf numFmtId="0" fontId="15" fillId="0" borderId="0" xfId="0" applyFont="1"/>
    <xf numFmtId="0" fontId="15" fillId="0" borderId="0" xfId="0" applyFont="1" applyAlignment="1">
      <alignment horizontal="right"/>
    </xf>
    <xf numFmtId="0" fontId="13" fillId="5" borderId="7" xfId="0" applyFont="1" applyFill="1" applyBorder="1"/>
    <xf numFmtId="10" fontId="13" fillId="5" borderId="8" xfId="0" applyNumberFormat="1" applyFont="1" applyFill="1" applyBorder="1" applyAlignment="1">
      <alignment horizontal="center"/>
    </xf>
    <xf numFmtId="0" fontId="13" fillId="5" borderId="9" xfId="0" applyFont="1" applyFill="1" applyBorder="1"/>
    <xf numFmtId="10" fontId="13" fillId="5" borderId="10" xfId="0" applyNumberFormat="1" applyFont="1" applyFill="1" applyBorder="1" applyAlignment="1">
      <alignment horizontal="center"/>
    </xf>
    <xf numFmtId="2" fontId="13" fillId="5" borderId="10" xfId="0" applyNumberFormat="1" applyFont="1" applyFill="1" applyBorder="1" applyAlignment="1">
      <alignment horizontal="center"/>
    </xf>
    <xf numFmtId="0" fontId="13" fillId="0" borderId="0" xfId="0" applyFont="1" applyBorder="1"/>
    <xf numFmtId="4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3" fillId="6" borderId="9" xfId="0" applyFont="1" applyFill="1" applyBorder="1"/>
    <xf numFmtId="2" fontId="13" fillId="6" borderId="10" xfId="0" applyNumberFormat="1" applyFont="1" applyFill="1" applyBorder="1" applyAlignment="1">
      <alignment horizontal="center"/>
    </xf>
    <xf numFmtId="4" fontId="13" fillId="6" borderId="10" xfId="0" applyNumberFormat="1" applyFont="1" applyFill="1" applyBorder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7" fillId="0" borderId="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10" fontId="17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4" fontId="17" fillId="0" borderId="0" xfId="0" applyNumberFormat="1" applyFont="1"/>
    <xf numFmtId="43" fontId="18" fillId="0" borderId="0" xfId="1" applyFont="1"/>
    <xf numFmtId="164" fontId="17" fillId="0" borderId="3" xfId="1" applyNumberFormat="1" applyFont="1" applyBorder="1" applyAlignment="1">
      <alignment horizontal="center"/>
    </xf>
    <xf numFmtId="0" fontId="0" fillId="7" borderId="0" xfId="0" applyFill="1"/>
    <xf numFmtId="0" fontId="3" fillId="7" borderId="0" xfId="0" applyFont="1" applyFill="1"/>
    <xf numFmtId="0" fontId="19" fillId="0" borderId="0" xfId="0" applyFont="1"/>
    <xf numFmtId="164" fontId="4" fillId="4" borderId="0" xfId="1" applyNumberFormat="1" applyFont="1" applyFill="1"/>
    <xf numFmtId="0" fontId="5" fillId="6" borderId="0" xfId="0" applyFont="1" applyFill="1"/>
    <xf numFmtId="3" fontId="5" fillId="6" borderId="0" xfId="0" applyNumberFormat="1" applyFont="1" applyFill="1"/>
    <xf numFmtId="0" fontId="5" fillId="8" borderId="0" xfId="0" applyFont="1" applyFill="1"/>
    <xf numFmtId="0" fontId="8" fillId="6" borderId="0" xfId="0" applyFont="1" applyFill="1"/>
    <xf numFmtId="3" fontId="8" fillId="6" borderId="0" xfId="0" applyNumberFormat="1" applyFont="1" applyFill="1"/>
    <xf numFmtId="3" fontId="5" fillId="8" borderId="0" xfId="0" applyNumberFormat="1" applyFont="1" applyFill="1"/>
    <xf numFmtId="0" fontId="8" fillId="8" borderId="0" xfId="0" applyFont="1" applyFill="1"/>
    <xf numFmtId="9" fontId="0" fillId="0" borderId="0" xfId="1" applyNumberFormat="1" applyFont="1"/>
    <xf numFmtId="164" fontId="2" fillId="0" borderId="1" xfId="0" applyNumberFormat="1" applyFont="1" applyBorder="1"/>
    <xf numFmtId="0" fontId="0" fillId="9" borderId="0" xfId="0" applyFill="1"/>
    <xf numFmtId="10" fontId="0" fillId="9" borderId="0" xfId="0" applyNumberFormat="1" applyFill="1"/>
    <xf numFmtId="164" fontId="0" fillId="9" borderId="0" xfId="0" applyNumberFormat="1" applyFill="1"/>
    <xf numFmtId="0" fontId="0" fillId="10" borderId="0" xfId="0" applyFill="1"/>
    <xf numFmtId="0" fontId="2" fillId="10" borderId="0" xfId="0" applyFont="1" applyFill="1"/>
    <xf numFmtId="164" fontId="0" fillId="10" borderId="0" xfId="0" applyNumberFormat="1" applyFill="1"/>
    <xf numFmtId="164" fontId="2" fillId="10" borderId="1" xfId="0" applyNumberFormat="1" applyFont="1" applyFill="1" applyBorder="1"/>
    <xf numFmtId="164" fontId="0" fillId="10" borderId="1" xfId="0" applyNumberFormat="1" applyFill="1" applyBorder="1"/>
    <xf numFmtId="164" fontId="2" fillId="10" borderId="0" xfId="0" applyNumberFormat="1" applyFont="1" applyFill="1"/>
    <xf numFmtId="0" fontId="0" fillId="11" borderId="0" xfId="0" applyFill="1"/>
    <xf numFmtId="0" fontId="2" fillId="11" borderId="0" xfId="0" applyFont="1" applyFill="1"/>
    <xf numFmtId="164" fontId="0" fillId="11" borderId="0" xfId="0" applyNumberFormat="1" applyFill="1"/>
    <xf numFmtId="164" fontId="2" fillId="11" borderId="1" xfId="0" applyNumberFormat="1" applyFont="1" applyFill="1" applyBorder="1"/>
    <xf numFmtId="164" fontId="0" fillId="11" borderId="1" xfId="0" applyNumberFormat="1" applyFill="1" applyBorder="1"/>
    <xf numFmtId="164" fontId="2" fillId="11" borderId="0" xfId="0" applyNumberFormat="1" applyFont="1" applyFill="1"/>
    <xf numFmtId="0" fontId="0" fillId="11" borderId="0" xfId="0" applyFont="1" applyFill="1"/>
    <xf numFmtId="9" fontId="0" fillId="0" borderId="0" xfId="0" applyNumberFormat="1"/>
    <xf numFmtId="0" fontId="20" fillId="0" borderId="0" xfId="0" applyFont="1"/>
    <xf numFmtId="0" fontId="21" fillId="0" borderId="0" xfId="0" applyFont="1"/>
    <xf numFmtId="10" fontId="2" fillId="0" borderId="0" xfId="0" applyNumberFormat="1" applyFont="1"/>
    <xf numFmtId="164" fontId="2" fillId="0" borderId="0" xfId="1" applyNumberFormat="1" applyFont="1" applyAlignment="1">
      <alignment horizontal="center"/>
    </xf>
    <xf numFmtId="164" fontId="0" fillId="7" borderId="0" xfId="1" applyNumberFormat="1" applyFont="1" applyFill="1"/>
    <xf numFmtId="164" fontId="0" fillId="7" borderId="0" xfId="0" applyNumberFormat="1" applyFill="1"/>
    <xf numFmtId="164" fontId="0" fillId="9" borderId="0" xfId="1" applyNumberFormat="1" applyFont="1" applyFill="1"/>
    <xf numFmtId="164" fontId="0" fillId="10" borderId="0" xfId="1" applyNumberFormat="1" applyFont="1" applyFill="1"/>
    <xf numFmtId="164" fontId="0" fillId="12" borderId="0" xfId="1" applyNumberFormat="1" applyFont="1" applyFill="1"/>
    <xf numFmtId="0" fontId="0" fillId="12" borderId="0" xfId="0" applyFill="1"/>
    <xf numFmtId="0" fontId="0" fillId="13" borderId="0" xfId="0" applyFill="1"/>
    <xf numFmtId="164" fontId="0" fillId="13" borderId="0" xfId="1" applyNumberFormat="1" applyFont="1" applyFill="1"/>
    <xf numFmtId="0" fontId="0" fillId="14" borderId="0" xfId="0" applyFill="1"/>
    <xf numFmtId="164" fontId="0" fillId="14" borderId="0" xfId="1" applyNumberFormat="1" applyFont="1" applyFill="1"/>
    <xf numFmtId="0" fontId="0" fillId="15" borderId="0" xfId="0" applyFill="1"/>
    <xf numFmtId="164" fontId="0" fillId="15" borderId="0" xfId="1" applyNumberFormat="1" applyFont="1" applyFill="1"/>
    <xf numFmtId="0" fontId="0" fillId="16" borderId="0" xfId="0" applyFill="1"/>
    <xf numFmtId="164" fontId="0" fillId="16" borderId="0" xfId="1" applyNumberFormat="1" applyFont="1" applyFill="1"/>
    <xf numFmtId="0" fontId="0" fillId="17" borderId="0" xfId="0" applyFill="1"/>
    <xf numFmtId="164" fontId="0" fillId="17" borderId="0" xfId="0" applyNumberFormat="1" applyFill="1"/>
    <xf numFmtId="164" fontId="0" fillId="17" borderId="1" xfId="0" applyNumberFormat="1" applyFill="1" applyBorder="1"/>
    <xf numFmtId="164" fontId="0" fillId="17" borderId="0" xfId="1" applyNumberFormat="1" applyFont="1" applyFill="1"/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FF99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workbookViewId="0">
      <selection activeCell="I38" sqref="I38"/>
    </sheetView>
  </sheetViews>
  <sheetFormatPr baseColWidth="10" defaultRowHeight="15" x14ac:dyDescent="0.25"/>
  <cols>
    <col min="3" max="3" width="13.7109375" bestFit="1" customWidth="1"/>
    <col min="9" max="9" width="12.7109375" bestFit="1" customWidth="1"/>
  </cols>
  <sheetData>
    <row r="1" spans="1:14" x14ac:dyDescent="0.25">
      <c r="A1" s="6" t="s">
        <v>173</v>
      </c>
      <c r="F1" s="6" t="s">
        <v>25</v>
      </c>
    </row>
    <row r="3" spans="1:14" x14ac:dyDescent="0.25">
      <c r="A3" t="s">
        <v>178</v>
      </c>
      <c r="C3" s="1">
        <v>10500000</v>
      </c>
      <c r="F3" s="6" t="s">
        <v>0</v>
      </c>
    </row>
    <row r="4" spans="1:14" x14ac:dyDescent="0.25">
      <c r="A4" t="s">
        <v>174</v>
      </c>
      <c r="C4" s="1">
        <v>9000000</v>
      </c>
      <c r="F4" t="s">
        <v>176</v>
      </c>
    </row>
    <row r="5" spans="1:14" x14ac:dyDescent="0.25">
      <c r="A5" t="s">
        <v>175</v>
      </c>
      <c r="C5" s="1">
        <v>6300000</v>
      </c>
    </row>
    <row r="6" spans="1:14" x14ac:dyDescent="0.25">
      <c r="F6" s="106" t="s">
        <v>179</v>
      </c>
      <c r="G6" s="105"/>
      <c r="H6" s="105"/>
      <c r="I6" s="105"/>
      <c r="K6" s="112" t="s">
        <v>195</v>
      </c>
      <c r="L6" s="111"/>
      <c r="M6" s="111"/>
      <c r="N6" s="111"/>
    </row>
    <row r="7" spans="1:14" x14ac:dyDescent="0.25">
      <c r="A7" t="s">
        <v>177</v>
      </c>
      <c r="C7" s="100">
        <v>0.22</v>
      </c>
      <c r="F7" s="105"/>
      <c r="G7" s="105"/>
      <c r="H7" s="105"/>
      <c r="I7" s="105"/>
      <c r="K7" s="111"/>
      <c r="L7" s="111"/>
      <c r="M7" s="111"/>
      <c r="N7" s="111"/>
    </row>
    <row r="8" spans="1:14" x14ac:dyDescent="0.25">
      <c r="F8" s="106" t="s">
        <v>82</v>
      </c>
      <c r="G8" s="105"/>
      <c r="H8" s="105"/>
      <c r="I8" s="105"/>
      <c r="K8" s="112" t="s">
        <v>82</v>
      </c>
      <c r="L8" s="111"/>
      <c r="M8" s="111"/>
      <c r="N8" s="111"/>
    </row>
    <row r="9" spans="1:14" x14ac:dyDescent="0.25">
      <c r="A9" t="s">
        <v>202</v>
      </c>
      <c r="C9" s="1">
        <v>10000000</v>
      </c>
      <c r="F9" s="105" t="s">
        <v>180</v>
      </c>
      <c r="G9" s="105"/>
      <c r="H9" s="105"/>
      <c r="I9" s="107">
        <f>C5</f>
        <v>6300000</v>
      </c>
      <c r="K9" s="111" t="s">
        <v>90</v>
      </c>
      <c r="L9" s="111"/>
      <c r="M9" s="111"/>
      <c r="N9" s="113">
        <f>I22</f>
        <v>7349999.9999999991</v>
      </c>
    </row>
    <row r="10" spans="1:14" x14ac:dyDescent="0.25">
      <c r="F10" s="105" t="s">
        <v>181</v>
      </c>
      <c r="G10" s="105"/>
      <c r="H10" s="105"/>
      <c r="I10" s="107">
        <f>I9</f>
        <v>6300000</v>
      </c>
      <c r="K10" s="111" t="s">
        <v>180</v>
      </c>
      <c r="L10" s="111"/>
      <c r="M10" s="111"/>
      <c r="N10" s="113">
        <f>C5</f>
        <v>6300000</v>
      </c>
    </row>
    <row r="11" spans="1:14" x14ac:dyDescent="0.25">
      <c r="F11" s="106" t="s">
        <v>6</v>
      </c>
      <c r="G11" s="105"/>
      <c r="H11" s="105"/>
      <c r="I11" s="108">
        <f>I9-I10</f>
        <v>0</v>
      </c>
      <c r="K11" s="112" t="s">
        <v>6</v>
      </c>
      <c r="L11" s="111"/>
      <c r="M11" s="111"/>
      <c r="N11" s="114">
        <f>N9-N10</f>
        <v>1049999.9999999991</v>
      </c>
    </row>
    <row r="12" spans="1:14" x14ac:dyDescent="0.25">
      <c r="F12" s="105" t="s">
        <v>7</v>
      </c>
      <c r="G12" s="105"/>
      <c r="H12" s="105"/>
      <c r="I12" s="109">
        <f>I11*C7</f>
        <v>0</v>
      </c>
      <c r="K12" s="111" t="s">
        <v>7</v>
      </c>
      <c r="L12" s="111"/>
      <c r="M12" s="111"/>
      <c r="N12" s="115">
        <f>N11*C7</f>
        <v>230999.9999999998</v>
      </c>
    </row>
    <row r="13" spans="1:14" x14ac:dyDescent="0.25">
      <c r="F13" s="106" t="s">
        <v>8</v>
      </c>
      <c r="G13" s="105"/>
      <c r="H13" s="105"/>
      <c r="I13" s="110">
        <f>I11-I12</f>
        <v>0</v>
      </c>
      <c r="K13" s="112" t="s">
        <v>8</v>
      </c>
      <c r="L13" s="111"/>
      <c r="M13" s="111"/>
      <c r="N13" s="116">
        <f>N11-N12</f>
        <v>818999.9999999993</v>
      </c>
    </row>
    <row r="14" spans="1:14" x14ac:dyDescent="0.25">
      <c r="F14" s="105"/>
      <c r="G14" s="105"/>
      <c r="H14" s="105"/>
      <c r="I14" s="105"/>
      <c r="K14" s="111"/>
      <c r="L14" s="111"/>
      <c r="M14" s="111"/>
      <c r="N14" s="111"/>
    </row>
    <row r="15" spans="1:14" x14ac:dyDescent="0.25">
      <c r="F15" s="106" t="s">
        <v>182</v>
      </c>
      <c r="G15" s="105"/>
      <c r="H15" s="105"/>
      <c r="I15" s="105"/>
      <c r="K15" s="112" t="s">
        <v>182</v>
      </c>
      <c r="L15" s="111"/>
      <c r="M15" s="111"/>
      <c r="N15" s="111"/>
    </row>
    <row r="16" spans="1:14" x14ac:dyDescent="0.25">
      <c r="F16" s="105" t="s">
        <v>192</v>
      </c>
      <c r="G16" s="105"/>
      <c r="H16" s="105"/>
      <c r="I16" s="107">
        <f>I10</f>
        <v>6300000</v>
      </c>
      <c r="K16" s="111" t="s">
        <v>114</v>
      </c>
      <c r="L16" s="111"/>
      <c r="M16" s="111"/>
      <c r="N16" s="113">
        <f>N9</f>
        <v>7349999.9999999991</v>
      </c>
    </row>
    <row r="17" spans="6:14" x14ac:dyDescent="0.25">
      <c r="F17" s="105"/>
      <c r="G17" s="105"/>
      <c r="H17" s="105"/>
      <c r="I17" s="105"/>
      <c r="K17" s="117" t="s">
        <v>192</v>
      </c>
      <c r="L17" s="111"/>
      <c r="M17" s="111"/>
      <c r="N17" s="115">
        <f>-I16</f>
        <v>-6300000</v>
      </c>
    </row>
    <row r="18" spans="6:14" x14ac:dyDescent="0.25">
      <c r="F18" s="102" t="s">
        <v>183</v>
      </c>
      <c r="G18" s="102"/>
      <c r="H18" s="102"/>
      <c r="I18" s="102"/>
      <c r="K18" s="112" t="s">
        <v>198</v>
      </c>
      <c r="L18" s="111"/>
      <c r="M18" s="111"/>
      <c r="N18" s="113">
        <f>SUM(N16:N17)</f>
        <v>1049999.9999999991</v>
      </c>
    </row>
    <row r="19" spans="6:14" x14ac:dyDescent="0.25">
      <c r="F19" s="102"/>
      <c r="G19" s="102"/>
      <c r="H19" s="102"/>
      <c r="I19" s="102"/>
      <c r="K19" s="112"/>
      <c r="L19" s="111"/>
      <c r="M19" s="111"/>
      <c r="N19" s="113"/>
    </row>
    <row r="20" spans="6:14" x14ac:dyDescent="0.25">
      <c r="F20" s="102" t="s">
        <v>184</v>
      </c>
      <c r="G20" s="102"/>
      <c r="H20" s="102"/>
      <c r="I20" s="103">
        <f>C5/C4</f>
        <v>0.7</v>
      </c>
      <c r="K20" s="111" t="s">
        <v>30</v>
      </c>
      <c r="L20" s="111"/>
      <c r="M20" s="111"/>
      <c r="N20" s="113">
        <f>N12</f>
        <v>230999.9999999998</v>
      </c>
    </row>
    <row r="21" spans="6:14" x14ac:dyDescent="0.25">
      <c r="F21" s="102"/>
      <c r="G21" s="102"/>
      <c r="H21" s="102"/>
      <c r="I21" s="102"/>
      <c r="K21" s="111" t="s">
        <v>196</v>
      </c>
      <c r="L21" s="111"/>
      <c r="M21" s="111"/>
      <c r="N21" s="115">
        <f>N13</f>
        <v>818999.9999999993</v>
      </c>
    </row>
    <row r="22" spans="6:14" x14ac:dyDescent="0.25">
      <c r="F22" s="102" t="s">
        <v>185</v>
      </c>
      <c r="G22" s="102"/>
      <c r="H22" s="102"/>
      <c r="I22" s="104">
        <f>C3*I20</f>
        <v>7349999.9999999991</v>
      </c>
      <c r="K22" s="112" t="s">
        <v>197</v>
      </c>
      <c r="L22" s="112"/>
      <c r="M22" s="112"/>
      <c r="N22" s="116">
        <f>SUM(N20:N21)</f>
        <v>1049999.9999999991</v>
      </c>
    </row>
    <row r="23" spans="6:14" x14ac:dyDescent="0.25">
      <c r="F23" s="102"/>
      <c r="G23" s="102"/>
      <c r="H23" s="102"/>
      <c r="I23" s="102"/>
    </row>
    <row r="24" spans="6:14" x14ac:dyDescent="0.25">
      <c r="F24" s="102" t="s">
        <v>186</v>
      </c>
      <c r="G24" s="102"/>
      <c r="H24" s="102"/>
      <c r="I24" s="102"/>
    </row>
    <row r="25" spans="6:14" x14ac:dyDescent="0.25">
      <c r="F25" s="102" t="s">
        <v>187</v>
      </c>
      <c r="G25" s="102"/>
      <c r="H25" s="102"/>
      <c r="I25" s="102"/>
    </row>
    <row r="26" spans="6:14" x14ac:dyDescent="0.25">
      <c r="F26" s="102" t="s">
        <v>193</v>
      </c>
      <c r="G26" s="102"/>
      <c r="H26" s="102"/>
      <c r="I26" s="104">
        <f>I10</f>
        <v>6300000</v>
      </c>
    </row>
    <row r="27" spans="6:14" x14ac:dyDescent="0.25">
      <c r="F27" s="102" t="s">
        <v>188</v>
      </c>
      <c r="G27" s="102"/>
      <c r="H27" s="102"/>
      <c r="I27" s="104">
        <f>(I22-I26)*C7</f>
        <v>230999.9999999998</v>
      </c>
    </row>
    <row r="28" spans="6:14" x14ac:dyDescent="0.25">
      <c r="F28" s="102" t="s">
        <v>190</v>
      </c>
      <c r="G28" s="102"/>
      <c r="H28" s="102"/>
      <c r="I28" s="104">
        <f>I22</f>
        <v>7349999.9999999991</v>
      </c>
    </row>
    <row r="29" spans="6:14" x14ac:dyDescent="0.25">
      <c r="F29" s="102"/>
      <c r="G29" s="102"/>
      <c r="H29" s="102"/>
      <c r="I29" s="102"/>
    </row>
    <row r="30" spans="6:14" x14ac:dyDescent="0.25">
      <c r="F30" s="102" t="s">
        <v>182</v>
      </c>
      <c r="G30" s="102"/>
      <c r="H30" s="102"/>
      <c r="I30" s="102"/>
    </row>
    <row r="31" spans="6:14" x14ac:dyDescent="0.25">
      <c r="F31" s="102" t="s">
        <v>189</v>
      </c>
      <c r="G31" s="102"/>
      <c r="H31" s="102"/>
      <c r="I31" s="104">
        <f>I28</f>
        <v>7349999.9999999991</v>
      </c>
    </row>
    <row r="32" spans="6:14" x14ac:dyDescent="0.25">
      <c r="F32" s="102" t="s">
        <v>191</v>
      </c>
      <c r="G32" s="102"/>
      <c r="H32" s="102"/>
      <c r="I32" s="104">
        <f>I26</f>
        <v>6300000</v>
      </c>
    </row>
    <row r="33" spans="6:14" x14ac:dyDescent="0.25">
      <c r="F33" s="102" t="s">
        <v>194</v>
      </c>
      <c r="G33" s="102"/>
      <c r="H33" s="102"/>
      <c r="I33" s="104">
        <f>I27</f>
        <v>230999.9999999998</v>
      </c>
    </row>
    <row r="35" spans="6:14" x14ac:dyDescent="0.25">
      <c r="F35" s="6" t="s">
        <v>1</v>
      </c>
    </row>
    <row r="36" spans="6:14" x14ac:dyDescent="0.25">
      <c r="F36" t="s">
        <v>199</v>
      </c>
      <c r="I36" s="118">
        <f>C5/C9</f>
        <v>0.63</v>
      </c>
    </row>
    <row r="38" spans="6:14" x14ac:dyDescent="0.25">
      <c r="F38" t="s">
        <v>185</v>
      </c>
      <c r="I38" s="4">
        <f>C3*I36</f>
        <v>6615000</v>
      </c>
    </row>
    <row r="40" spans="6:14" x14ac:dyDescent="0.25">
      <c r="F40" s="112" t="s">
        <v>200</v>
      </c>
      <c r="G40" s="111"/>
      <c r="H40" s="111"/>
      <c r="I40" s="111"/>
      <c r="J40" s="6" t="s">
        <v>201</v>
      </c>
      <c r="N40" s="6" t="s">
        <v>5</v>
      </c>
    </row>
    <row r="41" spans="6:14" x14ac:dyDescent="0.25">
      <c r="F41" s="111"/>
      <c r="G41" s="111"/>
      <c r="H41" s="111"/>
      <c r="I41" s="111"/>
    </row>
    <row r="42" spans="6:14" x14ac:dyDescent="0.25">
      <c r="F42" s="112" t="s">
        <v>82</v>
      </c>
      <c r="G42" s="111"/>
      <c r="H42" s="111"/>
      <c r="I42" s="111"/>
    </row>
    <row r="43" spans="6:14" x14ac:dyDescent="0.25">
      <c r="F43" s="111" t="s">
        <v>90</v>
      </c>
      <c r="G43" s="111"/>
      <c r="H43" s="111"/>
      <c r="I43" s="113">
        <f>I22</f>
        <v>7349999.9999999991</v>
      </c>
      <c r="J43" s="4">
        <f>I38</f>
        <v>6615000</v>
      </c>
      <c r="N43" s="4">
        <f>J43-I43</f>
        <v>-734999.99999999907</v>
      </c>
    </row>
    <row r="44" spans="6:14" x14ac:dyDescent="0.25">
      <c r="F44" s="111" t="s">
        <v>180</v>
      </c>
      <c r="G44" s="111"/>
      <c r="H44" s="111"/>
      <c r="I44" s="113">
        <f>C5</f>
        <v>6300000</v>
      </c>
      <c r="J44" s="4">
        <f>I44</f>
        <v>6300000</v>
      </c>
      <c r="N44" s="5">
        <f>J44-I44</f>
        <v>0</v>
      </c>
    </row>
    <row r="45" spans="6:14" x14ac:dyDescent="0.25">
      <c r="F45" s="112" t="s">
        <v>6</v>
      </c>
      <c r="G45" s="111"/>
      <c r="H45" s="111"/>
      <c r="I45" s="114">
        <f>I43-I44</f>
        <v>1049999.9999999991</v>
      </c>
      <c r="J45" s="101">
        <f>J43-J44</f>
        <v>315000</v>
      </c>
      <c r="N45" s="7">
        <f>SUM(N43:N44)</f>
        <v>-734999.99999999907</v>
      </c>
    </row>
    <row r="46" spans="6:14" x14ac:dyDescent="0.25">
      <c r="F46" s="111" t="s">
        <v>7</v>
      </c>
      <c r="G46" s="111"/>
      <c r="H46" s="111"/>
      <c r="I46" s="115">
        <f>I45*C7</f>
        <v>230999.9999999998</v>
      </c>
      <c r="J46" s="5">
        <f>J45*C7</f>
        <v>69300</v>
      </c>
      <c r="N46" s="5">
        <f>J46-I46</f>
        <v>-161699.9999999998</v>
      </c>
    </row>
    <row r="47" spans="6:14" x14ac:dyDescent="0.25">
      <c r="F47" s="112" t="s">
        <v>8</v>
      </c>
      <c r="G47" s="111"/>
      <c r="H47" s="111"/>
      <c r="I47" s="116">
        <f>I45-I46</f>
        <v>818999.9999999993</v>
      </c>
      <c r="J47" s="7">
        <f>J45-J46</f>
        <v>245700</v>
      </c>
      <c r="N47" s="7">
        <f>J47-I47</f>
        <v>-573299.9999999993</v>
      </c>
    </row>
    <row r="48" spans="6:14" x14ac:dyDescent="0.25">
      <c r="F48" s="111"/>
      <c r="G48" s="111"/>
      <c r="H48" s="111"/>
      <c r="I48" s="111"/>
    </row>
    <row r="49" spans="6:14" x14ac:dyDescent="0.25">
      <c r="F49" s="112" t="s">
        <v>182</v>
      </c>
      <c r="G49" s="111"/>
      <c r="H49" s="111"/>
      <c r="I49" s="111"/>
    </row>
    <row r="50" spans="6:14" x14ac:dyDescent="0.25">
      <c r="F50" s="111" t="s">
        <v>114</v>
      </c>
      <c r="G50" s="111"/>
      <c r="H50" s="111"/>
      <c r="I50" s="113">
        <f>I43</f>
        <v>7349999.9999999991</v>
      </c>
      <c r="J50" s="4">
        <f>J43</f>
        <v>6615000</v>
      </c>
      <c r="N50" s="4">
        <f>J50-I50</f>
        <v>-734999.99999999907</v>
      </c>
    </row>
    <row r="51" spans="6:14" x14ac:dyDescent="0.25">
      <c r="F51" s="117" t="s">
        <v>192</v>
      </c>
      <c r="G51" s="111"/>
      <c r="H51" s="111"/>
      <c r="I51" s="115">
        <f>-I16</f>
        <v>-6300000</v>
      </c>
      <c r="J51" s="5">
        <f>I51</f>
        <v>-6300000</v>
      </c>
      <c r="N51" s="5">
        <f>J51-I51</f>
        <v>0</v>
      </c>
    </row>
    <row r="52" spans="6:14" x14ac:dyDescent="0.25">
      <c r="F52" s="112" t="s">
        <v>198</v>
      </c>
      <c r="G52" s="111"/>
      <c r="H52" s="111"/>
      <c r="I52" s="116">
        <f>SUM(I50:I51)</f>
        <v>1049999.9999999991</v>
      </c>
      <c r="J52" s="7">
        <f>SUM(J50:J51)</f>
        <v>315000</v>
      </c>
      <c r="N52" s="7">
        <f>J52-I52</f>
        <v>-734999.99999999907</v>
      </c>
    </row>
    <row r="53" spans="6:14" x14ac:dyDescent="0.25">
      <c r="F53" s="112"/>
      <c r="G53" s="111"/>
      <c r="H53" s="111"/>
      <c r="I53" s="113"/>
    </row>
    <row r="54" spans="6:14" x14ac:dyDescent="0.25">
      <c r="F54" s="111" t="s">
        <v>30</v>
      </c>
      <c r="G54" s="111"/>
      <c r="H54" s="111"/>
      <c r="I54" s="113">
        <f>I46</f>
        <v>230999.9999999998</v>
      </c>
      <c r="J54" s="4">
        <f>J46</f>
        <v>69300</v>
      </c>
      <c r="N54" s="4">
        <f>J54-I54</f>
        <v>-161699.9999999998</v>
      </c>
    </row>
    <row r="55" spans="6:14" x14ac:dyDescent="0.25">
      <c r="F55" s="111" t="s">
        <v>196</v>
      </c>
      <c r="G55" s="111"/>
      <c r="H55" s="111"/>
      <c r="I55" s="115">
        <f>I47</f>
        <v>818999.9999999993</v>
      </c>
      <c r="J55" s="5">
        <f>J47</f>
        <v>245700</v>
      </c>
      <c r="N55" s="5">
        <f>J55-I55</f>
        <v>-573299.9999999993</v>
      </c>
    </row>
    <row r="56" spans="6:14" x14ac:dyDescent="0.25">
      <c r="F56" s="112" t="s">
        <v>197</v>
      </c>
      <c r="G56" s="112"/>
      <c r="H56" s="112"/>
      <c r="I56" s="116">
        <f>SUM(I54:I55)</f>
        <v>1049999.9999999991</v>
      </c>
      <c r="J56" s="7">
        <f>SUM(J54:J55)</f>
        <v>315000</v>
      </c>
      <c r="N56" s="7">
        <f>J56-I56</f>
        <v>-734999.99999999907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5"/>
  <sheetViews>
    <sheetView topLeftCell="A49" workbookViewId="0">
      <selection activeCell="G62" sqref="G62"/>
    </sheetView>
  </sheetViews>
  <sheetFormatPr baseColWidth="10" defaultRowHeight="15" x14ac:dyDescent="0.25"/>
  <cols>
    <col min="2" max="2" width="12.7109375" bestFit="1" customWidth="1"/>
    <col min="4" max="4" width="12.7109375" bestFit="1" customWidth="1"/>
    <col min="7" max="7" width="35.140625" customWidth="1"/>
    <col min="10" max="10" width="11.7109375" bestFit="1" customWidth="1"/>
    <col min="11" max="11" width="12.7109375" bestFit="1" customWidth="1"/>
  </cols>
  <sheetData>
    <row r="1" spans="1:12" s="6" customFormat="1" x14ac:dyDescent="0.25">
      <c r="A1" s="6" t="s">
        <v>9</v>
      </c>
      <c r="B1"/>
      <c r="C1"/>
      <c r="D1"/>
      <c r="E1"/>
      <c r="F1"/>
      <c r="G1" s="6" t="s">
        <v>25</v>
      </c>
    </row>
    <row r="3" spans="1:12" x14ac:dyDescent="0.25">
      <c r="A3" s="6" t="s">
        <v>6</v>
      </c>
      <c r="C3" s="10">
        <v>900000</v>
      </c>
      <c r="G3" s="6" t="s">
        <v>0</v>
      </c>
    </row>
    <row r="4" spans="1:12" x14ac:dyDescent="0.25">
      <c r="A4" t="s">
        <v>7</v>
      </c>
      <c r="C4" s="11">
        <v>204600</v>
      </c>
      <c r="G4" t="s">
        <v>26</v>
      </c>
      <c r="J4" s="4">
        <f>C4/D12</f>
        <v>930000</v>
      </c>
    </row>
    <row r="5" spans="1:12" x14ac:dyDescent="0.25">
      <c r="A5" s="6" t="s">
        <v>8</v>
      </c>
      <c r="C5" s="10">
        <f>C3-C4</f>
        <v>695400</v>
      </c>
      <c r="G5" t="s">
        <v>6</v>
      </c>
      <c r="J5" s="5">
        <f>C3</f>
        <v>900000</v>
      </c>
    </row>
    <row r="6" spans="1:12" x14ac:dyDescent="0.25">
      <c r="G6" t="s">
        <v>28</v>
      </c>
      <c r="J6" s="4">
        <f>J4-J5</f>
        <v>30000</v>
      </c>
    </row>
    <row r="7" spans="1:12" x14ac:dyDescent="0.25">
      <c r="A7" s="6" t="s">
        <v>24</v>
      </c>
      <c r="B7" s="6"/>
      <c r="C7" s="16">
        <v>2021</v>
      </c>
      <c r="D7" s="16">
        <v>2020</v>
      </c>
    </row>
    <row r="8" spans="1:12" x14ac:dyDescent="0.25">
      <c r="G8" t="s">
        <v>29</v>
      </c>
    </row>
    <row r="9" spans="1:12" x14ac:dyDescent="0.25">
      <c r="A9" t="s">
        <v>30</v>
      </c>
      <c r="C9" s="1">
        <v>35200</v>
      </c>
      <c r="D9" s="1">
        <v>52800</v>
      </c>
      <c r="G9" t="s">
        <v>51</v>
      </c>
    </row>
    <row r="10" spans="1:12" x14ac:dyDescent="0.25">
      <c r="A10" t="s">
        <v>23</v>
      </c>
      <c r="C10" s="1">
        <v>222200</v>
      </c>
      <c r="D10" s="1">
        <v>137000</v>
      </c>
    </row>
    <row r="11" spans="1:12" x14ac:dyDescent="0.25">
      <c r="G11" s="6" t="s">
        <v>1</v>
      </c>
    </row>
    <row r="12" spans="1:12" x14ac:dyDescent="0.25">
      <c r="A12" t="s">
        <v>27</v>
      </c>
      <c r="D12" s="2">
        <v>0.22</v>
      </c>
      <c r="G12" t="s">
        <v>10</v>
      </c>
      <c r="H12" s="4"/>
    </row>
    <row r="14" spans="1:12" x14ac:dyDescent="0.25">
      <c r="H14" s="22">
        <v>44197</v>
      </c>
      <c r="I14" s="16"/>
      <c r="J14" s="22">
        <v>44561</v>
      </c>
      <c r="K14" s="16"/>
      <c r="L14" s="16" t="s">
        <v>5</v>
      </c>
    </row>
    <row r="15" spans="1:12" x14ac:dyDescent="0.25">
      <c r="G15" t="s">
        <v>31</v>
      </c>
    </row>
    <row r="16" spans="1:12" x14ac:dyDescent="0.25">
      <c r="G16" t="s">
        <v>4</v>
      </c>
      <c r="H16" s="8"/>
      <c r="J16" s="8"/>
    </row>
    <row r="17" spans="7:14" x14ac:dyDescent="0.25">
      <c r="G17" t="s">
        <v>32</v>
      </c>
      <c r="H17" s="4">
        <f>H19/D12</f>
        <v>240000</v>
      </c>
      <c r="I17" s="24" t="s">
        <v>33</v>
      </c>
      <c r="J17" s="4">
        <f>J19/D12</f>
        <v>160000</v>
      </c>
      <c r="K17" s="4"/>
      <c r="L17" s="4">
        <f>H17-J17</f>
        <v>80000</v>
      </c>
    </row>
    <row r="19" spans="7:14" x14ac:dyDescent="0.25">
      <c r="G19" t="s">
        <v>2</v>
      </c>
      <c r="H19" s="4">
        <f>D9</f>
        <v>52800</v>
      </c>
      <c r="I19" s="23" t="s">
        <v>33</v>
      </c>
      <c r="J19" s="4">
        <f>C9</f>
        <v>35200</v>
      </c>
      <c r="L19" s="4">
        <f>J19-H19</f>
        <v>-17600</v>
      </c>
      <c r="N19" s="3"/>
    </row>
    <row r="21" spans="7:14" x14ac:dyDescent="0.25">
      <c r="G21" t="s">
        <v>34</v>
      </c>
    </row>
    <row r="22" spans="7:14" x14ac:dyDescent="0.25">
      <c r="G22" t="s">
        <v>35</v>
      </c>
    </row>
    <row r="23" spans="7:14" x14ac:dyDescent="0.25">
      <c r="G23" t="s">
        <v>36</v>
      </c>
      <c r="H23" s="4">
        <f>H17</f>
        <v>240000</v>
      </c>
      <c r="I23" s="4"/>
      <c r="J23" s="4">
        <f>J17</f>
        <v>160000</v>
      </c>
    </row>
    <row r="25" spans="7:14" x14ac:dyDescent="0.25">
      <c r="G25" t="s">
        <v>37</v>
      </c>
    </row>
    <row r="26" spans="7:14" x14ac:dyDescent="0.25">
      <c r="G26" t="s">
        <v>38</v>
      </c>
      <c r="H26" s="4">
        <f>H17/0.2</f>
        <v>1200000</v>
      </c>
      <c r="J26" s="4">
        <f>J17/0.2</f>
        <v>800000</v>
      </c>
    </row>
    <row r="28" spans="7:14" x14ac:dyDescent="0.25">
      <c r="G28" s="6" t="s">
        <v>3</v>
      </c>
    </row>
    <row r="30" spans="7:14" x14ac:dyDescent="0.25">
      <c r="G30" s="6" t="s">
        <v>9</v>
      </c>
      <c r="J30" s="16" t="s">
        <v>5</v>
      </c>
      <c r="K30" s="16" t="s">
        <v>39</v>
      </c>
    </row>
    <row r="32" spans="7:14" x14ac:dyDescent="0.25">
      <c r="G32" s="6" t="s">
        <v>6</v>
      </c>
      <c r="I32" s="10">
        <v>900000</v>
      </c>
      <c r="J32" s="1">
        <v>100000</v>
      </c>
      <c r="K32" s="1">
        <f>I32-J32</f>
        <v>800000</v>
      </c>
    </row>
    <row r="33" spans="7:14" x14ac:dyDescent="0.25">
      <c r="G33" t="s">
        <v>7</v>
      </c>
      <c r="I33" s="11">
        <v>204600</v>
      </c>
      <c r="J33" s="1">
        <f>J32*D12</f>
        <v>22000</v>
      </c>
      <c r="K33" s="11">
        <f>I33-J33</f>
        <v>182600</v>
      </c>
    </row>
    <row r="34" spans="7:14" x14ac:dyDescent="0.25">
      <c r="G34" s="6" t="s">
        <v>8</v>
      </c>
      <c r="I34" s="10">
        <f>I32-I33</f>
        <v>695400</v>
      </c>
      <c r="J34" s="1"/>
      <c r="K34" s="1">
        <f>K32-K33</f>
        <v>617400</v>
      </c>
    </row>
    <row r="36" spans="7:14" x14ac:dyDescent="0.25">
      <c r="G36" s="9" t="s">
        <v>40</v>
      </c>
      <c r="K36" s="1">
        <f>100000*0.8</f>
        <v>80000</v>
      </c>
    </row>
    <row r="37" spans="7:14" x14ac:dyDescent="0.25">
      <c r="G37" s="9" t="s">
        <v>49</v>
      </c>
      <c r="K37" s="4">
        <f>J17-100000*0.2</f>
        <v>140000</v>
      </c>
    </row>
    <row r="39" spans="7:14" x14ac:dyDescent="0.25">
      <c r="G39" t="s">
        <v>41</v>
      </c>
      <c r="K39" s="1">
        <f>100000*D12</f>
        <v>22000</v>
      </c>
      <c r="N39" s="4"/>
    </row>
    <row r="40" spans="7:14" x14ac:dyDescent="0.25">
      <c r="G40" t="s">
        <v>42</v>
      </c>
      <c r="K40" s="1">
        <f>20000*D12</f>
        <v>4400</v>
      </c>
      <c r="L40" t="s">
        <v>44</v>
      </c>
      <c r="M40" s="4">
        <f>C9-K40</f>
        <v>30800</v>
      </c>
    </row>
    <row r="41" spans="7:14" x14ac:dyDescent="0.25">
      <c r="G41" t="s">
        <v>43</v>
      </c>
      <c r="K41" s="4">
        <f>K36*D12</f>
        <v>17600</v>
      </c>
      <c r="L41" t="s">
        <v>44</v>
      </c>
      <c r="M41" s="1">
        <f>C10-K41</f>
        <v>204600</v>
      </c>
    </row>
    <row r="43" spans="7:14" x14ac:dyDescent="0.25">
      <c r="G43" t="s">
        <v>45</v>
      </c>
    </row>
    <row r="44" spans="7:14" x14ac:dyDescent="0.25">
      <c r="G44" t="s">
        <v>52</v>
      </c>
    </row>
    <row r="45" spans="7:14" x14ac:dyDescent="0.25">
      <c r="H45" s="22">
        <v>44197</v>
      </c>
      <c r="I45" s="16"/>
      <c r="J45" s="22">
        <v>44561</v>
      </c>
      <c r="K45" s="16"/>
      <c r="L45" s="16" t="s">
        <v>5</v>
      </c>
    </row>
    <row r="46" spans="7:14" x14ac:dyDescent="0.25">
      <c r="G46" t="s">
        <v>31</v>
      </c>
    </row>
    <row r="47" spans="7:14" x14ac:dyDescent="0.25">
      <c r="G47" t="s">
        <v>4</v>
      </c>
      <c r="H47" s="8"/>
      <c r="J47" s="8"/>
    </row>
    <row r="48" spans="7:14" x14ac:dyDescent="0.25">
      <c r="G48" t="s">
        <v>32</v>
      </c>
      <c r="H48" s="4">
        <f>H50/D12</f>
        <v>240000</v>
      </c>
      <c r="I48" s="24" t="s">
        <v>33</v>
      </c>
      <c r="J48" s="4">
        <f>J50/D12</f>
        <v>160000</v>
      </c>
      <c r="K48" s="4"/>
      <c r="L48" s="4">
        <f>H48-J48</f>
        <v>80000</v>
      </c>
    </row>
    <row r="50" spans="1:12" x14ac:dyDescent="0.25">
      <c r="G50" t="s">
        <v>2</v>
      </c>
      <c r="H50" s="4">
        <f>D9</f>
        <v>52800</v>
      </c>
      <c r="I50" s="23" t="s">
        <v>33</v>
      </c>
      <c r="J50" s="4">
        <f>C9</f>
        <v>35200</v>
      </c>
      <c r="L50" s="4">
        <f>J50-H50</f>
        <v>-17600</v>
      </c>
    </row>
    <row r="52" spans="1:12" x14ac:dyDescent="0.25">
      <c r="G52" t="s">
        <v>53</v>
      </c>
      <c r="H52" s="4">
        <f>H26</f>
        <v>1200000</v>
      </c>
      <c r="J52" s="4">
        <f>J26</f>
        <v>800000</v>
      </c>
    </row>
    <row r="53" spans="1:12" x14ac:dyDescent="0.25">
      <c r="A53" s="6"/>
    </row>
    <row r="54" spans="1:12" x14ac:dyDescent="0.25">
      <c r="A54" s="6"/>
      <c r="B54" s="6"/>
      <c r="C54" s="6"/>
      <c r="D54" s="10"/>
      <c r="G54" t="s">
        <v>54</v>
      </c>
    </row>
    <row r="55" spans="1:12" x14ac:dyDescent="0.25">
      <c r="H55" s="22">
        <v>44197</v>
      </c>
      <c r="I55" s="16"/>
      <c r="J55" s="22">
        <v>44561</v>
      </c>
      <c r="K55" s="16"/>
      <c r="L55" s="16" t="s">
        <v>5</v>
      </c>
    </row>
    <row r="56" spans="1:12" x14ac:dyDescent="0.25">
      <c r="G56" t="s">
        <v>31</v>
      </c>
      <c r="H56" s="4">
        <f>H52</f>
        <v>1200000</v>
      </c>
      <c r="J56" s="4">
        <f>J52</f>
        <v>800000</v>
      </c>
    </row>
    <row r="57" spans="1:12" x14ac:dyDescent="0.25">
      <c r="G57" t="s">
        <v>4</v>
      </c>
      <c r="H57" s="5">
        <f>H56-H58</f>
        <v>960000</v>
      </c>
      <c r="J57" s="5">
        <f>J56-J58</f>
        <v>640000</v>
      </c>
    </row>
    <row r="58" spans="1:12" x14ac:dyDescent="0.25">
      <c r="G58" t="s">
        <v>32</v>
      </c>
      <c r="H58" s="4">
        <v>240000</v>
      </c>
      <c r="I58" s="24" t="s">
        <v>33</v>
      </c>
      <c r="J58" s="4">
        <v>160000</v>
      </c>
      <c r="K58" s="4"/>
      <c r="L58" s="4">
        <f>H58-J58</f>
        <v>80000</v>
      </c>
    </row>
    <row r="60" spans="1:12" x14ac:dyDescent="0.25">
      <c r="G60" t="s">
        <v>2</v>
      </c>
      <c r="H60" s="4">
        <f>H58*D12</f>
        <v>52800</v>
      </c>
      <c r="I60" s="23" t="s">
        <v>33</v>
      </c>
      <c r="J60" s="4">
        <f>J58*D12</f>
        <v>35200</v>
      </c>
      <c r="L60" s="4">
        <f>J60-H60</f>
        <v>-17600</v>
      </c>
    </row>
    <row r="62" spans="1:12" x14ac:dyDescent="0.25">
      <c r="G62" t="s">
        <v>55</v>
      </c>
    </row>
    <row r="64" spans="1:12" x14ac:dyDescent="0.25">
      <c r="H64" s="22">
        <v>44197</v>
      </c>
      <c r="I64" s="16"/>
      <c r="J64" s="22">
        <v>44561</v>
      </c>
      <c r="K64" s="16"/>
      <c r="L64" s="16" t="s">
        <v>5</v>
      </c>
    </row>
    <row r="65" spans="7:12" x14ac:dyDescent="0.25">
      <c r="G65" t="s">
        <v>31</v>
      </c>
      <c r="H65" s="4">
        <f>H52</f>
        <v>1200000</v>
      </c>
      <c r="J65" s="4">
        <f>J52-100000</f>
        <v>700000</v>
      </c>
    </row>
    <row r="66" spans="7:12" x14ac:dyDescent="0.25">
      <c r="G66" t="s">
        <v>4</v>
      </c>
      <c r="H66" s="5">
        <v>960000</v>
      </c>
      <c r="J66" s="5">
        <f>J65-J65*20/100</f>
        <v>560000</v>
      </c>
    </row>
    <row r="67" spans="7:12" x14ac:dyDescent="0.25">
      <c r="G67" t="s">
        <v>32</v>
      </c>
      <c r="H67" s="4">
        <f>H65-H66</f>
        <v>240000</v>
      </c>
      <c r="I67" s="24" t="s">
        <v>33</v>
      </c>
      <c r="J67" s="4">
        <f>J65-J66</f>
        <v>140000</v>
      </c>
      <c r="K67" s="4"/>
      <c r="L67" s="4">
        <f>H67-J67</f>
        <v>100000</v>
      </c>
    </row>
    <row r="69" spans="7:12" x14ac:dyDescent="0.25">
      <c r="G69" t="s">
        <v>2</v>
      </c>
      <c r="H69" s="4">
        <f>H67*D12</f>
        <v>52800</v>
      </c>
      <c r="I69" s="23" t="s">
        <v>33</v>
      </c>
      <c r="J69" s="4">
        <f>J67*D12</f>
        <v>30800</v>
      </c>
      <c r="L69" s="4">
        <f>J69-H69</f>
        <v>-22000</v>
      </c>
    </row>
    <row r="71" spans="7:12" x14ac:dyDescent="0.25">
      <c r="G71" t="s">
        <v>46</v>
      </c>
      <c r="J71" s="4">
        <f>J50</f>
        <v>35200</v>
      </c>
    </row>
    <row r="72" spans="7:12" x14ac:dyDescent="0.25">
      <c r="G72" t="s">
        <v>47</v>
      </c>
      <c r="J72" s="5">
        <f>J69</f>
        <v>30800</v>
      </c>
    </row>
    <row r="73" spans="7:12" x14ac:dyDescent="0.25">
      <c r="G73" t="s">
        <v>48</v>
      </c>
      <c r="J73" s="4">
        <f>J71-J72</f>
        <v>4400</v>
      </c>
    </row>
    <row r="75" spans="7:12" x14ac:dyDescent="0.25">
      <c r="G75" t="s">
        <v>50</v>
      </c>
      <c r="J75" s="4">
        <f>J33-J73</f>
        <v>17600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87"/>
  <sheetViews>
    <sheetView topLeftCell="B60" workbookViewId="0">
      <selection activeCell="N71" sqref="N71"/>
    </sheetView>
  </sheetViews>
  <sheetFormatPr baseColWidth="10" defaultRowHeight="15" x14ac:dyDescent="0.25"/>
  <cols>
    <col min="1" max="1" width="33.28515625" bestFit="1" customWidth="1"/>
    <col min="3" max="4" width="13.7109375" bestFit="1" customWidth="1"/>
    <col min="8" max="10" width="12.7109375" bestFit="1" customWidth="1"/>
    <col min="15" max="15" width="12.7109375" bestFit="1" customWidth="1"/>
  </cols>
  <sheetData>
    <row r="1" spans="1:10" x14ac:dyDescent="0.25">
      <c r="A1" s="6" t="s">
        <v>203</v>
      </c>
      <c r="C1" s="21" t="s">
        <v>204</v>
      </c>
      <c r="D1" s="21" t="s">
        <v>205</v>
      </c>
      <c r="F1" s="6" t="s">
        <v>25</v>
      </c>
    </row>
    <row r="2" spans="1:10" x14ac:dyDescent="0.25">
      <c r="A2" s="6"/>
      <c r="C2" s="22">
        <v>44196</v>
      </c>
      <c r="D2" s="22">
        <v>44196</v>
      </c>
    </row>
    <row r="3" spans="1:10" x14ac:dyDescent="0.25">
      <c r="A3" t="s">
        <v>206</v>
      </c>
      <c r="C3" s="1">
        <v>24000000</v>
      </c>
      <c r="D3" s="1">
        <v>17600000</v>
      </c>
      <c r="F3" s="6" t="s">
        <v>0</v>
      </c>
    </row>
    <row r="4" spans="1:10" x14ac:dyDescent="0.25">
      <c r="A4" t="s">
        <v>216</v>
      </c>
      <c r="C4" s="11">
        <v>34000000</v>
      </c>
      <c r="D4" s="11">
        <v>400000</v>
      </c>
      <c r="F4" s="119" t="s">
        <v>217</v>
      </c>
    </row>
    <row r="5" spans="1:10" x14ac:dyDescent="0.25">
      <c r="A5" s="6" t="s">
        <v>118</v>
      </c>
      <c r="B5" s="6"/>
      <c r="C5" s="10">
        <f>SUM(C3:C4)</f>
        <v>58000000</v>
      </c>
      <c r="D5" s="10">
        <f>SUM(D3:D4)</f>
        <v>18000000</v>
      </c>
      <c r="F5" s="119" t="s">
        <v>218</v>
      </c>
    </row>
    <row r="6" spans="1:10" x14ac:dyDescent="0.25">
      <c r="C6" s="1"/>
      <c r="D6" s="1"/>
      <c r="F6" s="119" t="s">
        <v>219</v>
      </c>
    </row>
    <row r="7" spans="1:10" x14ac:dyDescent="0.25">
      <c r="A7" t="s">
        <v>207</v>
      </c>
      <c r="C7" s="1">
        <v>6000000</v>
      </c>
      <c r="D7" s="1">
        <v>6000000</v>
      </c>
      <c r="F7" s="119" t="s">
        <v>220</v>
      </c>
    </row>
    <row r="8" spans="1:10" x14ac:dyDescent="0.25">
      <c r="A8" t="s">
        <v>124</v>
      </c>
      <c r="C8" s="1">
        <v>2000000</v>
      </c>
      <c r="D8" s="1"/>
      <c r="F8" s="119" t="s">
        <v>221</v>
      </c>
    </row>
    <row r="9" spans="1:10" x14ac:dyDescent="0.25">
      <c r="A9" t="s">
        <v>208</v>
      </c>
      <c r="C9" s="11">
        <v>50000000</v>
      </c>
      <c r="D9" s="11">
        <v>12000000</v>
      </c>
    </row>
    <row r="10" spans="1:10" x14ac:dyDescent="0.25">
      <c r="A10" s="6" t="s">
        <v>209</v>
      </c>
      <c r="B10" s="6"/>
      <c r="C10" s="10">
        <f>SUM(C7:C9)</f>
        <v>58000000</v>
      </c>
      <c r="D10" s="10">
        <f>SUM(D7:D9)</f>
        <v>18000000</v>
      </c>
      <c r="F10" s="120" t="s">
        <v>1</v>
      </c>
    </row>
    <row r="11" spans="1:10" x14ac:dyDescent="0.25">
      <c r="F11" s="120" t="s">
        <v>222</v>
      </c>
      <c r="G11" s="6"/>
      <c r="H11" s="121">
        <v>1</v>
      </c>
      <c r="I11" s="121">
        <v>0.6</v>
      </c>
      <c r="J11" s="121">
        <v>0.4</v>
      </c>
    </row>
    <row r="12" spans="1:10" x14ac:dyDescent="0.25">
      <c r="A12" s="6" t="s">
        <v>210</v>
      </c>
    </row>
    <row r="13" spans="1:10" x14ac:dyDescent="0.25">
      <c r="F13" t="s">
        <v>223</v>
      </c>
      <c r="H13" s="4">
        <f>D7</f>
        <v>6000000</v>
      </c>
      <c r="I13" s="4">
        <f>H13*$I$11</f>
        <v>3600000</v>
      </c>
      <c r="J13" s="4">
        <f>H13*$J$11</f>
        <v>2400000</v>
      </c>
    </row>
    <row r="14" spans="1:10" x14ac:dyDescent="0.25">
      <c r="A14" s="6" t="s">
        <v>82</v>
      </c>
      <c r="C14" s="21" t="s">
        <v>204</v>
      </c>
      <c r="D14" s="21" t="s">
        <v>205</v>
      </c>
      <c r="F14" t="s">
        <v>224</v>
      </c>
      <c r="H14" s="1">
        <v>2200000</v>
      </c>
      <c r="I14" s="4">
        <f t="shared" ref="I14:I16" si="0">H14*$I$11</f>
        <v>1320000</v>
      </c>
      <c r="J14" s="4">
        <f t="shared" ref="J14:J16" si="1">H14*$J$11</f>
        <v>880000</v>
      </c>
    </row>
    <row r="15" spans="1:10" x14ac:dyDescent="0.25">
      <c r="C15" s="21">
        <v>2021</v>
      </c>
      <c r="D15" s="21">
        <v>2021</v>
      </c>
      <c r="F15" t="s">
        <v>225</v>
      </c>
      <c r="H15" s="1">
        <v>200000</v>
      </c>
      <c r="I15" s="4">
        <f t="shared" si="0"/>
        <v>120000</v>
      </c>
      <c r="J15" s="4">
        <f t="shared" si="1"/>
        <v>80000</v>
      </c>
    </row>
    <row r="16" spans="1:10" x14ac:dyDescent="0.25">
      <c r="A16" t="s">
        <v>90</v>
      </c>
      <c r="C16" s="1">
        <v>38000000</v>
      </c>
      <c r="D16" s="1">
        <v>32000000</v>
      </c>
      <c r="F16" t="s">
        <v>2</v>
      </c>
      <c r="H16" s="11">
        <f>-(H14+H15)*22/100</f>
        <v>-528000</v>
      </c>
      <c r="I16" s="5">
        <f t="shared" si="0"/>
        <v>-316800</v>
      </c>
      <c r="J16" s="5">
        <f t="shared" si="1"/>
        <v>-211200</v>
      </c>
    </row>
    <row r="17" spans="1:15" x14ac:dyDescent="0.25">
      <c r="A17" t="s">
        <v>211</v>
      </c>
      <c r="C17" s="1">
        <v>19200000</v>
      </c>
      <c r="D17" s="1">
        <v>26000000</v>
      </c>
      <c r="F17" s="6" t="s">
        <v>226</v>
      </c>
      <c r="G17" s="6"/>
      <c r="H17" s="10">
        <f>SUM(H13:H16)</f>
        <v>7872000</v>
      </c>
      <c r="I17" s="10">
        <f t="shared" ref="I17:J17" si="2">SUM(I13:I16)</f>
        <v>4723200</v>
      </c>
      <c r="J17" s="10">
        <f t="shared" si="2"/>
        <v>3148800</v>
      </c>
    </row>
    <row r="18" spans="1:15" x14ac:dyDescent="0.25">
      <c r="A18" t="s">
        <v>212</v>
      </c>
      <c r="C18" s="11">
        <v>2800000</v>
      </c>
      <c r="D18" s="11">
        <v>2000000</v>
      </c>
      <c r="F18" t="s">
        <v>227</v>
      </c>
      <c r="H18" s="1"/>
      <c r="I18" s="11">
        <v>5600000</v>
      </c>
      <c r="J18" s="1"/>
    </row>
    <row r="19" spans="1:15" x14ac:dyDescent="0.25">
      <c r="A19" s="6" t="s">
        <v>97</v>
      </c>
      <c r="B19" s="6"/>
      <c r="C19" s="10">
        <f>C16-C17-C18</f>
        <v>16000000</v>
      </c>
      <c r="D19" s="10">
        <f>D16-D17-D18</f>
        <v>4000000</v>
      </c>
      <c r="F19" s="6" t="s">
        <v>228</v>
      </c>
      <c r="G19" s="6"/>
      <c r="H19" s="10"/>
      <c r="I19" s="10">
        <f>I18-I17</f>
        <v>876800</v>
      </c>
      <c r="J19" s="1"/>
    </row>
    <row r="20" spans="1:15" x14ac:dyDescent="0.25">
      <c r="A20" t="s">
        <v>213</v>
      </c>
      <c r="C20" s="11">
        <v>0</v>
      </c>
      <c r="D20" s="11">
        <v>0</v>
      </c>
      <c r="F20" s="6"/>
      <c r="G20" s="6"/>
      <c r="H20" s="10"/>
      <c r="I20" s="10"/>
      <c r="J20" s="1"/>
    </row>
    <row r="21" spans="1:15" x14ac:dyDescent="0.25">
      <c r="A21" s="6" t="s">
        <v>6</v>
      </c>
      <c r="B21" s="6"/>
      <c r="C21" s="10">
        <f>SUM(C19:C20)</f>
        <v>16000000</v>
      </c>
      <c r="D21" s="10">
        <f>SUM(D19:D20)</f>
        <v>4000000</v>
      </c>
      <c r="F21" s="6" t="s">
        <v>235</v>
      </c>
      <c r="G21" s="6"/>
      <c r="H21" s="10"/>
      <c r="I21" s="10"/>
      <c r="J21" s="1"/>
    </row>
    <row r="22" spans="1:15" x14ac:dyDescent="0.25">
      <c r="A22" t="s">
        <v>7</v>
      </c>
      <c r="C22" s="11">
        <f>C21*22/100</f>
        <v>3520000</v>
      </c>
      <c r="D22" s="11">
        <f>D21*22/100</f>
        <v>880000</v>
      </c>
      <c r="F22" s="6"/>
      <c r="G22" s="6"/>
      <c r="H22" s="10"/>
      <c r="I22" s="10"/>
      <c r="J22" s="142" t="s">
        <v>236</v>
      </c>
      <c r="K22" s="142"/>
      <c r="L22" s="21" t="s">
        <v>239</v>
      </c>
    </row>
    <row r="23" spans="1:15" x14ac:dyDescent="0.25">
      <c r="A23" s="6" t="s">
        <v>8</v>
      </c>
      <c r="B23" s="6"/>
      <c r="C23" s="10">
        <f>C21-C22</f>
        <v>12480000</v>
      </c>
      <c r="D23" s="10">
        <f>D21-D22</f>
        <v>3120000</v>
      </c>
      <c r="F23" s="6"/>
      <c r="G23" s="6"/>
      <c r="H23" s="10"/>
      <c r="I23" s="10"/>
      <c r="J23" s="122" t="s">
        <v>237</v>
      </c>
      <c r="K23" s="21" t="s">
        <v>238</v>
      </c>
    </row>
    <row r="24" spans="1:15" x14ac:dyDescent="0.25">
      <c r="F24" s="6"/>
      <c r="H24" s="21" t="s">
        <v>204</v>
      </c>
      <c r="I24" s="21" t="s">
        <v>205</v>
      </c>
      <c r="J24" s="1"/>
    </row>
    <row r="25" spans="1:15" x14ac:dyDescent="0.25">
      <c r="A25" s="6" t="s">
        <v>214</v>
      </c>
      <c r="C25" s="21" t="s">
        <v>204</v>
      </c>
      <c r="D25" s="21" t="s">
        <v>205</v>
      </c>
      <c r="F25" s="6"/>
      <c r="H25" s="22">
        <v>44196</v>
      </c>
      <c r="I25" s="22">
        <v>44196</v>
      </c>
      <c r="J25" s="1"/>
    </row>
    <row r="26" spans="1:15" x14ac:dyDescent="0.25">
      <c r="C26" s="22">
        <v>44561</v>
      </c>
      <c r="D26" s="22">
        <v>44561</v>
      </c>
      <c r="F26" s="9" t="s">
        <v>228</v>
      </c>
      <c r="H26" s="22"/>
      <c r="I26" s="22"/>
      <c r="J26" s="123">
        <f>I19</f>
        <v>876800</v>
      </c>
      <c r="L26" s="4">
        <f>H26+I26+J26-K26</f>
        <v>876800</v>
      </c>
      <c r="M26" s="89" t="s">
        <v>245</v>
      </c>
      <c r="N26" s="89"/>
      <c r="O26" s="89"/>
    </row>
    <row r="27" spans="1:15" x14ac:dyDescent="0.25">
      <c r="A27" t="s">
        <v>206</v>
      </c>
      <c r="C27" s="1">
        <v>21200000</v>
      </c>
      <c r="D27" s="1">
        <v>15600000</v>
      </c>
      <c r="F27" t="s">
        <v>206</v>
      </c>
      <c r="H27" s="1">
        <v>24000000</v>
      </c>
      <c r="I27" s="1">
        <v>17600000</v>
      </c>
      <c r="J27" s="123">
        <f>H14</f>
        <v>2200000</v>
      </c>
      <c r="L27" s="4">
        <f t="shared" ref="L27:L29" si="3">H27+I27+J27-K27</f>
        <v>43800000</v>
      </c>
    </row>
    <row r="28" spans="1:15" x14ac:dyDescent="0.25">
      <c r="A28" t="s">
        <v>215</v>
      </c>
      <c r="C28" s="1">
        <v>5600000</v>
      </c>
      <c r="D28" s="1"/>
      <c r="F28" t="s">
        <v>215</v>
      </c>
      <c r="H28" s="1">
        <v>5600000</v>
      </c>
      <c r="I28" s="1"/>
      <c r="J28" s="1"/>
      <c r="K28" s="124">
        <f>I18</f>
        <v>5600000</v>
      </c>
      <c r="L28" s="4">
        <f t="shared" si="3"/>
        <v>0</v>
      </c>
    </row>
    <row r="29" spans="1:15" x14ac:dyDescent="0.25">
      <c r="A29" t="s">
        <v>216</v>
      </c>
      <c r="C29" s="11">
        <v>47200000</v>
      </c>
      <c r="D29" s="11">
        <v>6400000</v>
      </c>
      <c r="F29" t="s">
        <v>216</v>
      </c>
      <c r="H29" s="11">
        <v>34000000</v>
      </c>
      <c r="I29" s="11">
        <v>400000</v>
      </c>
      <c r="J29" s="123">
        <f>H15</f>
        <v>200000</v>
      </c>
      <c r="L29" s="5">
        <f t="shared" si="3"/>
        <v>34600000</v>
      </c>
    </row>
    <row r="30" spans="1:15" x14ac:dyDescent="0.25">
      <c r="A30" s="6" t="s">
        <v>118</v>
      </c>
      <c r="B30" s="6"/>
      <c r="C30" s="10">
        <f>SUM(C27:C29)</f>
        <v>74000000</v>
      </c>
      <c r="D30" s="10">
        <f>SUM(D27:D29)</f>
        <v>22000000</v>
      </c>
      <c r="F30" s="6" t="s">
        <v>118</v>
      </c>
      <c r="G30" s="6"/>
      <c r="H30" s="10">
        <f>SUM(H27:H29)</f>
        <v>63600000</v>
      </c>
      <c r="I30" s="10">
        <f>SUM(I27:I29)</f>
        <v>18000000</v>
      </c>
      <c r="J30" s="1"/>
      <c r="L30" s="7">
        <f>SUM(L26:L29)</f>
        <v>79276800</v>
      </c>
    </row>
    <row r="31" spans="1:15" x14ac:dyDescent="0.25">
      <c r="C31" s="1"/>
      <c r="D31" s="1"/>
      <c r="H31" s="1"/>
      <c r="I31" s="1"/>
      <c r="J31" s="1"/>
    </row>
    <row r="32" spans="1:15" x14ac:dyDescent="0.25">
      <c r="A32" t="s">
        <v>207</v>
      </c>
      <c r="C32" s="1">
        <v>6000000</v>
      </c>
      <c r="D32" s="1">
        <v>6000000</v>
      </c>
      <c r="F32" t="s">
        <v>207</v>
      </c>
      <c r="H32" s="1">
        <v>6000000</v>
      </c>
      <c r="I32" s="1">
        <v>6000000</v>
      </c>
      <c r="J32" s="123">
        <f>H13</f>
        <v>6000000</v>
      </c>
      <c r="L32" s="4">
        <f>H32+I32-J32+K32</f>
        <v>6000000</v>
      </c>
    </row>
    <row r="33" spans="1:12" x14ac:dyDescent="0.25">
      <c r="A33" t="s">
        <v>124</v>
      </c>
      <c r="C33" s="1">
        <v>14480000</v>
      </c>
      <c r="D33" s="1">
        <v>3120000</v>
      </c>
      <c r="F33" t="s">
        <v>124</v>
      </c>
      <c r="H33" s="1">
        <v>2000000</v>
      </c>
      <c r="I33" s="1"/>
      <c r="J33" s="1"/>
      <c r="L33" s="4">
        <f t="shared" ref="L33:L36" si="4">H33+I33-J33+K33</f>
        <v>2000000</v>
      </c>
    </row>
    <row r="34" spans="1:12" x14ac:dyDescent="0.25">
      <c r="A34" t="s">
        <v>208</v>
      </c>
      <c r="C34" s="12">
        <v>50000000</v>
      </c>
      <c r="D34" s="12">
        <v>12000000</v>
      </c>
      <c r="F34" t="s">
        <v>240</v>
      </c>
      <c r="H34" s="1"/>
      <c r="I34" s="1"/>
      <c r="J34" s="1"/>
      <c r="K34" s="124">
        <f>J17</f>
        <v>3148800</v>
      </c>
      <c r="L34" s="4">
        <f t="shared" si="4"/>
        <v>3148800</v>
      </c>
    </row>
    <row r="35" spans="1:12" x14ac:dyDescent="0.25">
      <c r="A35" t="s">
        <v>23</v>
      </c>
      <c r="C35" s="11">
        <v>3520000</v>
      </c>
      <c r="D35" s="11">
        <v>880000</v>
      </c>
      <c r="F35" t="s">
        <v>2</v>
      </c>
      <c r="H35" s="1"/>
      <c r="I35" s="1"/>
      <c r="J35" s="1"/>
      <c r="K35" s="124">
        <f>-H16</f>
        <v>528000</v>
      </c>
      <c r="L35" s="4">
        <f t="shared" si="4"/>
        <v>528000</v>
      </c>
    </row>
    <row r="36" spans="1:12" x14ac:dyDescent="0.25">
      <c r="A36" s="6" t="s">
        <v>209</v>
      </c>
      <c r="B36" s="6"/>
      <c r="C36" s="10">
        <f>SUM(C32:C35)</f>
        <v>74000000</v>
      </c>
      <c r="D36" s="10">
        <f>SUM(D32:D35)</f>
        <v>22000000</v>
      </c>
      <c r="F36" t="s">
        <v>208</v>
      </c>
      <c r="H36" s="11">
        <f>50000000+H28</f>
        <v>55600000</v>
      </c>
      <c r="I36" s="11">
        <v>12000000</v>
      </c>
      <c r="J36" s="11"/>
      <c r="K36" s="8"/>
      <c r="L36" s="5">
        <f t="shared" si="4"/>
        <v>67600000</v>
      </c>
    </row>
    <row r="37" spans="1:12" x14ac:dyDescent="0.25">
      <c r="F37" s="6" t="s">
        <v>209</v>
      </c>
      <c r="G37" s="6"/>
      <c r="H37" s="10">
        <f>SUM(H32:H36)</f>
        <v>63600000</v>
      </c>
      <c r="I37" s="10">
        <f>SUM(I32:I36)</f>
        <v>18000000</v>
      </c>
      <c r="J37" s="1">
        <f>SUM(J25:J36)</f>
        <v>9276800</v>
      </c>
      <c r="K37" s="1">
        <f>SUM(K25:K36)</f>
        <v>9276800</v>
      </c>
      <c r="L37" s="7">
        <f>SUM(L32:L36)</f>
        <v>79276800</v>
      </c>
    </row>
    <row r="38" spans="1:12" x14ac:dyDescent="0.25">
      <c r="F38" s="6"/>
      <c r="G38" s="6"/>
      <c r="H38" s="10"/>
      <c r="I38" s="10"/>
      <c r="J38" s="1"/>
    </row>
    <row r="39" spans="1:12" x14ac:dyDescent="0.25">
      <c r="F39" s="6" t="s">
        <v>3</v>
      </c>
      <c r="H39" s="4"/>
    </row>
    <row r="40" spans="1:12" x14ac:dyDescent="0.25">
      <c r="F40" s="119" t="s">
        <v>229</v>
      </c>
    </row>
    <row r="41" spans="1:12" x14ac:dyDescent="0.25">
      <c r="F41" s="119" t="s">
        <v>230</v>
      </c>
    </row>
    <row r="42" spans="1:12" x14ac:dyDescent="0.25">
      <c r="F42" s="119" t="s">
        <v>231</v>
      </c>
    </row>
    <row r="43" spans="1:12" x14ac:dyDescent="0.25">
      <c r="F43" s="119" t="s">
        <v>232</v>
      </c>
    </row>
    <row r="44" spans="1:12" x14ac:dyDescent="0.25">
      <c r="F44" s="119" t="s">
        <v>233</v>
      </c>
    </row>
    <row r="46" spans="1:12" x14ac:dyDescent="0.25">
      <c r="F46" s="120" t="s">
        <v>234</v>
      </c>
    </row>
    <row r="47" spans="1:12" x14ac:dyDescent="0.25">
      <c r="J47" s="143" t="s">
        <v>236</v>
      </c>
      <c r="K47" s="143"/>
      <c r="L47" s="21" t="s">
        <v>239</v>
      </c>
    </row>
    <row r="48" spans="1:12" x14ac:dyDescent="0.25">
      <c r="J48" s="21" t="s">
        <v>237</v>
      </c>
      <c r="K48" s="21" t="s">
        <v>238</v>
      </c>
    </row>
    <row r="49" spans="1:15" x14ac:dyDescent="0.25">
      <c r="F49" s="6" t="s">
        <v>82</v>
      </c>
      <c r="H49" s="21" t="s">
        <v>204</v>
      </c>
      <c r="I49" s="21" t="s">
        <v>205</v>
      </c>
    </row>
    <row r="50" spans="1:15" x14ac:dyDescent="0.25">
      <c r="H50" s="21">
        <v>2021</v>
      </c>
      <c r="I50" s="21">
        <v>2021</v>
      </c>
    </row>
    <row r="51" spans="1:15" x14ac:dyDescent="0.25">
      <c r="F51" t="s">
        <v>90</v>
      </c>
      <c r="H51" s="1">
        <v>38000000</v>
      </c>
      <c r="I51" s="1">
        <v>32000000</v>
      </c>
      <c r="J51" s="130">
        <v>3000000</v>
      </c>
      <c r="K51" s="1"/>
      <c r="L51" s="4">
        <f>H51+I51-J51+K51</f>
        <v>67000000</v>
      </c>
      <c r="M51" s="89" t="s">
        <v>245</v>
      </c>
      <c r="N51" s="89"/>
      <c r="O51" s="89"/>
    </row>
    <row r="52" spans="1:15" x14ac:dyDescent="0.25">
      <c r="F52" t="s">
        <v>211</v>
      </c>
      <c r="H52" s="1">
        <v>19200000</v>
      </c>
      <c r="I52" s="1">
        <v>26000000</v>
      </c>
      <c r="J52" s="127">
        <f>K68</f>
        <v>200000</v>
      </c>
      <c r="K52" s="1"/>
      <c r="L52" s="4">
        <f>H52+I52+J52-K53+J54</f>
        <v>42900000</v>
      </c>
      <c r="M52" s="102" t="s">
        <v>243</v>
      </c>
      <c r="N52" s="102"/>
      <c r="O52" s="102"/>
    </row>
    <row r="53" spans="1:15" x14ac:dyDescent="0.25">
      <c r="H53" s="1"/>
      <c r="I53" s="1"/>
      <c r="J53" s="1"/>
      <c r="K53" s="130">
        <f>J51</f>
        <v>3000000</v>
      </c>
      <c r="M53" s="102" t="s">
        <v>244</v>
      </c>
      <c r="N53" s="102"/>
      <c r="O53" s="102"/>
    </row>
    <row r="54" spans="1:15" x14ac:dyDescent="0.25">
      <c r="H54" s="1"/>
      <c r="I54" s="1"/>
      <c r="J54" s="132">
        <f>K69</f>
        <v>500000</v>
      </c>
      <c r="M54" s="105" t="s">
        <v>246</v>
      </c>
      <c r="N54" s="105"/>
      <c r="O54" s="105"/>
    </row>
    <row r="55" spans="1:15" x14ac:dyDescent="0.25">
      <c r="F55" t="s">
        <v>241</v>
      </c>
      <c r="H55" s="1"/>
      <c r="I55" s="1"/>
      <c r="J55" s="126">
        <f>K65</f>
        <v>87680</v>
      </c>
      <c r="K55" s="1"/>
      <c r="L55" s="4">
        <f>J55</f>
        <v>87680</v>
      </c>
      <c r="M55" s="128" t="s">
        <v>247</v>
      </c>
      <c r="N55" s="128"/>
      <c r="O55" s="128"/>
    </row>
    <row r="56" spans="1:15" x14ac:dyDescent="0.25">
      <c r="F56" t="s">
        <v>242</v>
      </c>
      <c r="H56" s="11">
        <v>2800000</v>
      </c>
      <c r="I56" s="11">
        <v>2000000</v>
      </c>
      <c r="J56" s="125">
        <f>K66</f>
        <v>220000</v>
      </c>
      <c r="K56" s="1"/>
      <c r="L56" s="5">
        <f>H56+I56+J56</f>
        <v>5020000</v>
      </c>
      <c r="M56" s="128" t="s">
        <v>248</v>
      </c>
      <c r="N56" s="128"/>
      <c r="O56" s="128"/>
    </row>
    <row r="57" spans="1:15" x14ac:dyDescent="0.25">
      <c r="F57" s="6" t="s">
        <v>97</v>
      </c>
      <c r="G57" s="6"/>
      <c r="H57" s="10">
        <f>H51-H52-H56</f>
        <v>16000000</v>
      </c>
      <c r="I57" s="10">
        <f>I51-I52-I56</f>
        <v>4000000</v>
      </c>
      <c r="J57" s="1"/>
      <c r="K57" s="1"/>
      <c r="L57" s="4">
        <f>L51-L52-L55-L56</f>
        <v>18992320</v>
      </c>
      <c r="M57" s="129" t="s">
        <v>249</v>
      </c>
      <c r="N57" s="129"/>
      <c r="O57" s="129"/>
    </row>
    <row r="58" spans="1:15" x14ac:dyDescent="0.25">
      <c r="F58" t="s">
        <v>213</v>
      </c>
      <c r="H58" s="11">
        <v>0</v>
      </c>
      <c r="I58" s="11">
        <v>0</v>
      </c>
      <c r="J58" s="1"/>
      <c r="K58" s="1"/>
      <c r="L58" s="8"/>
      <c r="M58" s="129" t="s">
        <v>250</v>
      </c>
      <c r="N58" s="129"/>
      <c r="O58" s="129"/>
    </row>
    <row r="59" spans="1:15" x14ac:dyDescent="0.25">
      <c r="F59" s="6" t="s">
        <v>6</v>
      </c>
      <c r="G59" s="6"/>
      <c r="H59" s="10">
        <f>SUM(H57:H58)</f>
        <v>16000000</v>
      </c>
      <c r="I59" s="10">
        <f>SUM(I57:I58)</f>
        <v>4000000</v>
      </c>
      <c r="J59" s="1"/>
      <c r="K59" s="1"/>
      <c r="L59" s="4">
        <f>SUM(L57:L58)</f>
        <v>18992320</v>
      </c>
      <c r="M59" s="131" t="s">
        <v>251</v>
      </c>
      <c r="N59" s="131"/>
      <c r="O59" s="131"/>
    </row>
    <row r="60" spans="1:15" x14ac:dyDescent="0.25">
      <c r="F60" t="s">
        <v>7</v>
      </c>
      <c r="H60" s="11">
        <f>H59*22/100</f>
        <v>3520000</v>
      </c>
      <c r="I60" s="11">
        <f>I59*22/100</f>
        <v>880000</v>
      </c>
      <c r="J60" s="1"/>
      <c r="K60" s="134">
        <f>J77</f>
        <v>202400</v>
      </c>
      <c r="L60" s="5">
        <f>H60+I60-K60</f>
        <v>4197600</v>
      </c>
      <c r="M60" s="131" t="s">
        <v>252</v>
      </c>
      <c r="N60" s="131"/>
      <c r="O60" s="131"/>
    </row>
    <row r="61" spans="1:15" x14ac:dyDescent="0.25">
      <c r="F61" s="6" t="s">
        <v>8</v>
      </c>
      <c r="G61" s="6"/>
      <c r="H61" s="10">
        <f>H59-H60</f>
        <v>12480000</v>
      </c>
      <c r="I61" s="10">
        <f>I59-I60</f>
        <v>3120000</v>
      </c>
      <c r="J61" s="1"/>
      <c r="K61" s="136">
        <f>J51+J52+J54+J55+J56-K53-K60</f>
        <v>805280</v>
      </c>
      <c r="L61" s="4">
        <f>H61+I61-K61</f>
        <v>14794720</v>
      </c>
      <c r="M61" s="131" t="s">
        <v>253</v>
      </c>
      <c r="N61" s="131"/>
      <c r="O61" s="131"/>
    </row>
    <row r="62" spans="1:15" x14ac:dyDescent="0.25">
      <c r="A62" s="4"/>
      <c r="J62" s="1"/>
      <c r="K62" s="1"/>
      <c r="M62" s="133" t="s">
        <v>254</v>
      </c>
      <c r="N62" s="133"/>
      <c r="O62" s="133"/>
    </row>
    <row r="63" spans="1:15" x14ac:dyDescent="0.25">
      <c r="F63" s="6" t="s">
        <v>214</v>
      </c>
      <c r="H63" s="21" t="s">
        <v>204</v>
      </c>
      <c r="I63" s="21" t="s">
        <v>205</v>
      </c>
      <c r="J63" s="1"/>
      <c r="K63" s="1"/>
      <c r="M63" s="133" t="s">
        <v>255</v>
      </c>
      <c r="N63" s="133"/>
      <c r="O63" s="133"/>
    </row>
    <row r="64" spans="1:15" x14ac:dyDescent="0.25">
      <c r="H64" s="22">
        <v>44561</v>
      </c>
      <c r="I64" s="22">
        <v>44561</v>
      </c>
      <c r="J64" s="1"/>
      <c r="K64" s="1"/>
      <c r="M64" s="133" t="s">
        <v>256</v>
      </c>
      <c r="N64" s="133"/>
      <c r="O64" s="133"/>
    </row>
    <row r="65" spans="6:15" x14ac:dyDescent="0.25">
      <c r="F65" s="9" t="s">
        <v>228</v>
      </c>
      <c r="H65" s="22"/>
      <c r="I65" s="22"/>
      <c r="J65" s="123">
        <f>J26</f>
        <v>876800</v>
      </c>
      <c r="K65" s="126">
        <f>J65/10</f>
        <v>87680</v>
      </c>
      <c r="L65" s="4">
        <f>H65+I65+J65-K65</f>
        <v>789120</v>
      </c>
      <c r="M65" s="133" t="s">
        <v>257</v>
      </c>
      <c r="N65" s="133"/>
      <c r="O65" s="133"/>
    </row>
    <row r="66" spans="6:15" x14ac:dyDescent="0.25">
      <c r="F66" t="s">
        <v>206</v>
      </c>
      <c r="H66" s="1">
        <v>21200000</v>
      </c>
      <c r="I66" s="1">
        <v>15600000</v>
      </c>
      <c r="J66" s="123">
        <f>J27</f>
        <v>2200000</v>
      </c>
      <c r="K66" s="125">
        <f>J66/10</f>
        <v>220000</v>
      </c>
      <c r="L66" s="4">
        <f t="shared" ref="L66:L67" si="5">H66+I66+J66-K66</f>
        <v>38780000</v>
      </c>
      <c r="M66" s="135" t="s">
        <v>258</v>
      </c>
      <c r="N66" s="135"/>
      <c r="O66" s="135"/>
    </row>
    <row r="67" spans="6:15" x14ac:dyDescent="0.25">
      <c r="F67" t="s">
        <v>215</v>
      </c>
      <c r="H67" s="1">
        <v>5600000</v>
      </c>
      <c r="I67" s="1"/>
      <c r="J67" s="1"/>
      <c r="K67" s="123">
        <f>K28</f>
        <v>5600000</v>
      </c>
      <c r="L67" s="4">
        <f t="shared" si="5"/>
        <v>0</v>
      </c>
      <c r="M67" s="137" t="s">
        <v>271</v>
      </c>
      <c r="N67" s="137"/>
      <c r="O67" s="137"/>
    </row>
    <row r="68" spans="6:15" x14ac:dyDescent="0.25">
      <c r="F68" t="s">
        <v>216</v>
      </c>
      <c r="H68" s="12">
        <v>47200000</v>
      </c>
      <c r="I68" s="12">
        <v>6400000</v>
      </c>
      <c r="J68" s="123">
        <f>J29</f>
        <v>200000</v>
      </c>
      <c r="K68" s="127">
        <v>200000</v>
      </c>
      <c r="L68" s="4">
        <f>H68+I68+J68-K68-K69</f>
        <v>53100000</v>
      </c>
      <c r="M68" s="137" t="s">
        <v>270</v>
      </c>
      <c r="N68" s="137"/>
      <c r="O68" s="137"/>
    </row>
    <row r="69" spans="6:15" x14ac:dyDescent="0.25">
      <c r="H69" s="11"/>
      <c r="I69" s="11"/>
      <c r="K69" s="132">
        <f>(3000000-2000000)*50/100</f>
        <v>500000</v>
      </c>
      <c r="L69" s="5"/>
      <c r="M69" s="137" t="s">
        <v>259</v>
      </c>
      <c r="N69" s="137"/>
      <c r="O69" s="138">
        <f>I61</f>
        <v>3120000</v>
      </c>
    </row>
    <row r="70" spans="6:15" x14ac:dyDescent="0.25">
      <c r="F70" s="6" t="s">
        <v>118</v>
      </c>
      <c r="G70" s="6"/>
      <c r="H70" s="10">
        <f>SUM(H66:H68)</f>
        <v>74000000</v>
      </c>
      <c r="I70" s="10">
        <f>SUM(I66:I68)</f>
        <v>22000000</v>
      </c>
      <c r="J70" s="1"/>
      <c r="K70" s="1"/>
      <c r="L70" s="7">
        <f>SUM(L65:L69)</f>
        <v>92669120</v>
      </c>
      <c r="M70" s="137" t="s">
        <v>243</v>
      </c>
      <c r="N70" s="137"/>
      <c r="O70" s="138">
        <f>-K66</f>
        <v>-220000</v>
      </c>
    </row>
    <row r="71" spans="6:15" x14ac:dyDescent="0.25">
      <c r="H71" s="1"/>
      <c r="I71" s="1"/>
      <c r="J71" s="1"/>
      <c r="K71" s="1"/>
      <c r="M71" s="137" t="s">
        <v>225</v>
      </c>
      <c r="N71" s="137"/>
      <c r="O71" s="138">
        <f>-K68</f>
        <v>-200000</v>
      </c>
    </row>
    <row r="72" spans="6:15" x14ac:dyDescent="0.25">
      <c r="F72" t="s">
        <v>207</v>
      </c>
      <c r="H72" s="1">
        <v>6000000</v>
      </c>
      <c r="I72" s="1">
        <v>6000000</v>
      </c>
      <c r="J72" s="123">
        <f>J32</f>
        <v>6000000</v>
      </c>
      <c r="K72" s="1"/>
      <c r="L72" s="4">
        <f>H72+I72-J72+K72</f>
        <v>6000000</v>
      </c>
      <c r="M72" s="137" t="s">
        <v>7</v>
      </c>
      <c r="N72" s="137"/>
      <c r="O72" s="139">
        <f>(K66+K68)*22/100</f>
        <v>92400</v>
      </c>
    </row>
    <row r="73" spans="6:15" x14ac:dyDescent="0.25">
      <c r="F73" t="s">
        <v>124</v>
      </c>
      <c r="H73" s="1">
        <v>14480000</v>
      </c>
      <c r="I73" s="1">
        <v>3120000</v>
      </c>
      <c r="J73" s="136">
        <f>K61</f>
        <v>805280</v>
      </c>
      <c r="K73" s="1"/>
      <c r="L73" s="4">
        <f>H73+I73-J73-J74</f>
        <v>15677760</v>
      </c>
      <c r="M73" s="137"/>
      <c r="N73" s="137"/>
      <c r="O73" s="138">
        <f>SUM(O69:O72)</f>
        <v>2792400</v>
      </c>
    </row>
    <row r="74" spans="6:15" x14ac:dyDescent="0.25">
      <c r="H74" s="1"/>
      <c r="I74" s="1"/>
      <c r="J74" s="140">
        <f>K76</f>
        <v>1116960</v>
      </c>
      <c r="K74" s="1"/>
      <c r="M74" s="137" t="s">
        <v>260</v>
      </c>
      <c r="N74" s="137"/>
      <c r="O74" s="138">
        <f>O73*J11</f>
        <v>1116960</v>
      </c>
    </row>
    <row r="75" spans="6:15" x14ac:dyDescent="0.25">
      <c r="F75" t="s">
        <v>240</v>
      </c>
      <c r="H75" s="1"/>
      <c r="I75" s="1"/>
      <c r="J75" s="1"/>
      <c r="K75" s="123">
        <f>K34</f>
        <v>3148800</v>
      </c>
      <c r="L75" s="4">
        <f>K75+K76</f>
        <v>4265760</v>
      </c>
    </row>
    <row r="76" spans="6:15" x14ac:dyDescent="0.25">
      <c r="H76" s="1"/>
      <c r="I76" s="1"/>
      <c r="J76" s="1"/>
      <c r="K76" s="138">
        <f>O74</f>
        <v>1116960</v>
      </c>
      <c r="M76" s="6" t="s">
        <v>261</v>
      </c>
    </row>
    <row r="77" spans="6:15" x14ac:dyDescent="0.25">
      <c r="F77" t="s">
        <v>2</v>
      </c>
      <c r="H77" s="1"/>
      <c r="I77" s="1"/>
      <c r="J77" s="134">
        <f>(J52+J54+J56)*22/100</f>
        <v>202400</v>
      </c>
      <c r="K77" s="123">
        <f>K35</f>
        <v>528000</v>
      </c>
      <c r="L77" s="4">
        <f>H77+I77-J77+K77</f>
        <v>325600</v>
      </c>
    </row>
    <row r="78" spans="6:15" x14ac:dyDescent="0.25">
      <c r="F78" t="s">
        <v>208</v>
      </c>
      <c r="H78" s="12">
        <v>50000000</v>
      </c>
      <c r="I78" s="12">
        <v>12000000</v>
      </c>
      <c r="J78" s="1"/>
      <c r="K78" s="1"/>
      <c r="L78" s="4">
        <f>H78+I78</f>
        <v>62000000</v>
      </c>
      <c r="M78" t="s">
        <v>262</v>
      </c>
      <c r="O78" s="4">
        <f>H61</f>
        <v>12480000</v>
      </c>
    </row>
    <row r="79" spans="6:15" x14ac:dyDescent="0.25">
      <c r="F79" t="s">
        <v>23</v>
      </c>
      <c r="H79" s="11">
        <v>3520000</v>
      </c>
      <c r="I79" s="11">
        <v>880000</v>
      </c>
      <c r="J79" s="11"/>
      <c r="K79" s="11"/>
      <c r="L79" s="5">
        <f>H79+I79</f>
        <v>4400000</v>
      </c>
      <c r="M79" t="s">
        <v>263</v>
      </c>
      <c r="O79" s="4">
        <f>I61*I11</f>
        <v>1872000</v>
      </c>
    </row>
    <row r="80" spans="6:15" x14ac:dyDescent="0.25">
      <c r="F80" s="6" t="s">
        <v>209</v>
      </c>
      <c r="G80" s="6"/>
      <c r="H80" s="10">
        <f>SUM(H72:H79)</f>
        <v>74000000</v>
      </c>
      <c r="I80" s="10">
        <f>SUM(I72:I79)</f>
        <v>22000000</v>
      </c>
      <c r="J80" s="1">
        <f>SUM(J51:J79)</f>
        <v>15409120</v>
      </c>
      <c r="K80" s="1">
        <f>SUM(K51:K79)</f>
        <v>15409120</v>
      </c>
      <c r="L80" s="7">
        <f>SUM(L72:L79)</f>
        <v>92669120</v>
      </c>
      <c r="M80" t="s">
        <v>264</v>
      </c>
      <c r="O80" s="1">
        <f>-K66*I11</f>
        <v>-132000</v>
      </c>
    </row>
    <row r="81" spans="13:15" x14ac:dyDescent="0.25">
      <c r="M81" t="s">
        <v>265</v>
      </c>
      <c r="O81" s="1">
        <f>-K68*I11</f>
        <v>-120000</v>
      </c>
    </row>
    <row r="82" spans="13:15" x14ac:dyDescent="0.25">
      <c r="M82" t="s">
        <v>269</v>
      </c>
      <c r="O82" s="1">
        <f>-K69</f>
        <v>-500000</v>
      </c>
    </row>
    <row r="83" spans="13:15" x14ac:dyDescent="0.25">
      <c r="M83" t="s">
        <v>266</v>
      </c>
      <c r="O83" s="4">
        <f>-K65</f>
        <v>-87680</v>
      </c>
    </row>
    <row r="84" spans="13:15" x14ac:dyDescent="0.25">
      <c r="M84" t="s">
        <v>7</v>
      </c>
      <c r="O84" s="5">
        <f>((K66+K68)*22/100)*I11+K69*22/100</f>
        <v>165440</v>
      </c>
    </row>
    <row r="85" spans="13:15" x14ac:dyDescent="0.25">
      <c r="O85" s="4">
        <f>SUM(O78:O84)</f>
        <v>13677760</v>
      </c>
    </row>
    <row r="86" spans="13:15" x14ac:dyDescent="0.25">
      <c r="M86" t="s">
        <v>267</v>
      </c>
      <c r="O86" s="5">
        <f>C8</f>
        <v>2000000</v>
      </c>
    </row>
    <row r="87" spans="13:15" x14ac:dyDescent="0.25">
      <c r="M87" t="s">
        <v>268</v>
      </c>
      <c r="O87" s="4">
        <f>SUM(O85:O86)</f>
        <v>15677760</v>
      </c>
    </row>
  </sheetData>
  <mergeCells count="2">
    <mergeCell ref="J22:K22"/>
    <mergeCell ref="J47:K47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4"/>
  <sheetViews>
    <sheetView topLeftCell="A12" workbookViewId="0">
      <selection activeCell="O45" sqref="O45"/>
    </sheetView>
  </sheetViews>
  <sheetFormatPr baseColWidth="10" defaultRowHeight="15" x14ac:dyDescent="0.25"/>
  <cols>
    <col min="2" max="2" width="13.7109375" bestFit="1" customWidth="1"/>
    <col min="3" max="3" width="12.7109375" bestFit="1" customWidth="1"/>
    <col min="4" max="4" width="11" bestFit="1" customWidth="1"/>
    <col min="5" max="5" width="12.5703125" bestFit="1" customWidth="1"/>
    <col min="6" max="6" width="10.28515625" bestFit="1" customWidth="1"/>
    <col min="7" max="7" width="12.140625" bestFit="1" customWidth="1"/>
  </cols>
  <sheetData>
    <row r="1" spans="1:12" x14ac:dyDescent="0.25">
      <c r="I1" s="6" t="s">
        <v>25</v>
      </c>
    </row>
    <row r="2" spans="1:12" x14ac:dyDescent="0.25">
      <c r="A2" s="25"/>
      <c r="B2" s="30" t="s">
        <v>65</v>
      </c>
      <c r="C2" s="30" t="s">
        <v>64</v>
      </c>
      <c r="D2" s="30" t="s">
        <v>57</v>
      </c>
      <c r="E2" s="30" t="s">
        <v>57</v>
      </c>
      <c r="F2" s="30" t="s">
        <v>59</v>
      </c>
      <c r="G2" s="30" t="s">
        <v>60</v>
      </c>
      <c r="I2" t="s">
        <v>69</v>
      </c>
    </row>
    <row r="3" spans="1:12" x14ac:dyDescent="0.25">
      <c r="A3" s="26"/>
      <c r="B3" s="31"/>
      <c r="C3" s="31" t="s">
        <v>56</v>
      </c>
      <c r="D3" s="31" t="s">
        <v>63</v>
      </c>
      <c r="E3" s="31" t="s">
        <v>58</v>
      </c>
      <c r="F3" s="31"/>
      <c r="G3" s="31" t="s">
        <v>61</v>
      </c>
      <c r="I3" t="s">
        <v>70</v>
      </c>
    </row>
    <row r="4" spans="1:12" x14ac:dyDescent="0.25">
      <c r="A4" s="27"/>
      <c r="B4" s="32"/>
      <c r="C4" s="32"/>
      <c r="D4" s="40"/>
      <c r="E4" s="32"/>
      <c r="F4" s="32"/>
      <c r="G4" s="32" t="s">
        <v>62</v>
      </c>
    </row>
    <row r="5" spans="1:12" x14ac:dyDescent="0.25">
      <c r="A5" s="28" t="s">
        <v>66</v>
      </c>
      <c r="B5" s="33">
        <v>44228</v>
      </c>
      <c r="C5" s="28">
        <v>320000</v>
      </c>
      <c r="D5" s="28">
        <v>1000</v>
      </c>
      <c r="E5" s="28"/>
      <c r="F5" s="28"/>
      <c r="G5" s="28">
        <v>440</v>
      </c>
      <c r="I5" s="6" t="s">
        <v>71</v>
      </c>
    </row>
    <row r="6" spans="1:12" x14ac:dyDescent="0.25">
      <c r="A6" s="29" t="s">
        <v>67</v>
      </c>
      <c r="B6" s="34">
        <v>44232</v>
      </c>
      <c r="C6" s="29">
        <v>110000</v>
      </c>
      <c r="D6" s="29">
        <v>500</v>
      </c>
      <c r="E6" s="29"/>
      <c r="F6" s="29"/>
      <c r="G6" s="29"/>
      <c r="J6" s="21" t="s">
        <v>72</v>
      </c>
      <c r="K6" s="21" t="s">
        <v>73</v>
      </c>
      <c r="L6" s="21" t="s">
        <v>11</v>
      </c>
    </row>
    <row r="7" spans="1:12" x14ac:dyDescent="0.25">
      <c r="A7" s="26"/>
      <c r="B7" s="35">
        <v>44365</v>
      </c>
      <c r="C7" s="38">
        <v>90000</v>
      </c>
      <c r="D7" s="38">
        <v>300</v>
      </c>
      <c r="E7" s="38"/>
      <c r="F7" s="38"/>
      <c r="G7" s="38"/>
      <c r="I7" s="6" t="s">
        <v>66</v>
      </c>
      <c r="J7" s="4">
        <f>D5</f>
        <v>1000</v>
      </c>
      <c r="K7" s="4">
        <f>G5</f>
        <v>440</v>
      </c>
      <c r="L7" s="1">
        <f>J7*K7</f>
        <v>440000</v>
      </c>
    </row>
    <row r="8" spans="1:12" x14ac:dyDescent="0.25">
      <c r="A8" s="27"/>
      <c r="B8" s="36"/>
      <c r="C8" s="39"/>
      <c r="D8" s="39"/>
      <c r="E8" s="39">
        <v>300</v>
      </c>
      <c r="F8" s="39">
        <v>80000</v>
      </c>
      <c r="G8" s="39">
        <v>340</v>
      </c>
      <c r="I8" s="6" t="s">
        <v>67</v>
      </c>
      <c r="J8" s="4">
        <f>D6+D7-E8</f>
        <v>500</v>
      </c>
      <c r="K8" s="4">
        <f>G8</f>
        <v>340</v>
      </c>
      <c r="L8" s="1">
        <f t="shared" ref="L8:L9" si="0">J8*K8</f>
        <v>170000</v>
      </c>
    </row>
    <row r="9" spans="1:12" x14ac:dyDescent="0.25">
      <c r="A9" s="28" t="s">
        <v>68</v>
      </c>
      <c r="B9" s="37">
        <v>44290</v>
      </c>
      <c r="C9" s="28">
        <v>440000</v>
      </c>
      <c r="D9" s="28">
        <v>800</v>
      </c>
      <c r="E9" s="28"/>
      <c r="F9" s="28"/>
      <c r="G9" s="28">
        <v>450</v>
      </c>
      <c r="I9" s="6" t="s">
        <v>68</v>
      </c>
      <c r="J9" s="4">
        <f>D9</f>
        <v>800</v>
      </c>
      <c r="K9" s="4">
        <f>G9</f>
        <v>450</v>
      </c>
      <c r="L9" s="11">
        <f t="shared" si="0"/>
        <v>360000</v>
      </c>
    </row>
    <row r="10" spans="1:12" x14ac:dyDescent="0.25">
      <c r="D10" s="1"/>
      <c r="L10" s="1">
        <f>SUM(L7:L9)</f>
        <v>970000</v>
      </c>
    </row>
    <row r="11" spans="1:12" x14ac:dyDescent="0.25">
      <c r="D11" s="1"/>
    </row>
    <row r="12" spans="1:12" x14ac:dyDescent="0.25">
      <c r="D12" s="1"/>
      <c r="I12" s="6" t="s">
        <v>74</v>
      </c>
    </row>
    <row r="13" spans="1:12" x14ac:dyDescent="0.25">
      <c r="J13" s="21" t="s">
        <v>72</v>
      </c>
      <c r="K13" s="21" t="s">
        <v>73</v>
      </c>
      <c r="L13" s="21" t="s">
        <v>11</v>
      </c>
    </row>
    <row r="14" spans="1:12" x14ac:dyDescent="0.25">
      <c r="I14" s="6" t="s">
        <v>66</v>
      </c>
      <c r="J14" s="4">
        <f>D5</f>
        <v>1000</v>
      </c>
      <c r="K14" s="4">
        <f>C5/D5</f>
        <v>320</v>
      </c>
      <c r="L14" s="1">
        <f>J14*K14</f>
        <v>320000</v>
      </c>
    </row>
    <row r="15" spans="1:12" x14ac:dyDescent="0.25">
      <c r="A15" s="14"/>
      <c r="B15" s="14"/>
      <c r="C15" s="4"/>
      <c r="D15" s="14"/>
      <c r="F15" s="14"/>
      <c r="G15" s="4"/>
      <c r="I15" s="6" t="s">
        <v>67</v>
      </c>
      <c r="J15" s="4">
        <f>D6-E8</f>
        <v>200</v>
      </c>
      <c r="K15" s="4">
        <f>C6/D6</f>
        <v>220</v>
      </c>
      <c r="L15" s="1">
        <f t="shared" ref="L15:L17" si="1">J15*K15</f>
        <v>44000</v>
      </c>
    </row>
    <row r="16" spans="1:12" x14ac:dyDescent="0.25">
      <c r="A16" s="14"/>
      <c r="B16" s="14"/>
      <c r="C16" s="4"/>
      <c r="D16" s="14"/>
      <c r="E16" s="4"/>
      <c r="F16" s="14"/>
      <c r="G16" s="4"/>
      <c r="I16" s="6" t="s">
        <v>67</v>
      </c>
      <c r="J16" s="4">
        <f>D7</f>
        <v>300</v>
      </c>
      <c r="K16" s="4">
        <f>C7/D7</f>
        <v>300</v>
      </c>
      <c r="L16" s="1">
        <f t="shared" si="1"/>
        <v>90000</v>
      </c>
    </row>
    <row r="17" spans="1:16" x14ac:dyDescent="0.25">
      <c r="A17" s="21"/>
      <c r="B17" s="13"/>
      <c r="C17" s="7"/>
      <c r="I17" s="6" t="s">
        <v>68</v>
      </c>
      <c r="J17" s="4">
        <f>D9</f>
        <v>800</v>
      </c>
      <c r="K17" s="4">
        <f>G9</f>
        <v>450</v>
      </c>
      <c r="L17" s="11">
        <f t="shared" si="1"/>
        <v>360000</v>
      </c>
    </row>
    <row r="18" spans="1:16" x14ac:dyDescent="0.25">
      <c r="L18" s="1">
        <f>SUM(L14:L17)</f>
        <v>814000</v>
      </c>
    </row>
    <row r="19" spans="1:16" x14ac:dyDescent="0.25">
      <c r="L19" s="1"/>
    </row>
    <row r="20" spans="1:16" x14ac:dyDescent="0.25">
      <c r="D20" s="1"/>
      <c r="I20" s="6" t="s">
        <v>272</v>
      </c>
      <c r="L20" s="1"/>
    </row>
    <row r="21" spans="1:16" x14ac:dyDescent="0.25">
      <c r="D21" s="1"/>
      <c r="I21" s="6" t="s">
        <v>273</v>
      </c>
      <c r="L21" s="1"/>
      <c r="M21" s="4">
        <f>(C6+C7)/(D6+D7)</f>
        <v>250</v>
      </c>
    </row>
    <row r="22" spans="1:16" x14ac:dyDescent="0.25">
      <c r="D22" s="1"/>
      <c r="L22" s="1"/>
    </row>
    <row r="23" spans="1:16" x14ac:dyDescent="0.25">
      <c r="A23" s="6"/>
      <c r="B23" s="6"/>
      <c r="C23" s="6"/>
      <c r="D23" s="10"/>
      <c r="I23" s="6" t="s">
        <v>74</v>
      </c>
    </row>
    <row r="24" spans="1:16" x14ac:dyDescent="0.25">
      <c r="J24" s="141" t="s">
        <v>72</v>
      </c>
      <c r="K24" s="141" t="s">
        <v>73</v>
      </c>
      <c r="L24" s="141" t="s">
        <v>11</v>
      </c>
    </row>
    <row r="25" spans="1:16" x14ac:dyDescent="0.25">
      <c r="I25" s="6" t="s">
        <v>66</v>
      </c>
      <c r="J25" s="4">
        <f>D5</f>
        <v>1000</v>
      </c>
      <c r="K25" s="4">
        <f>C5/D5</f>
        <v>320</v>
      </c>
      <c r="L25" s="1">
        <f>J25*K25</f>
        <v>320000</v>
      </c>
    </row>
    <row r="26" spans="1:16" x14ac:dyDescent="0.25">
      <c r="D26" s="1"/>
      <c r="I26" s="6" t="s">
        <v>67</v>
      </c>
      <c r="J26" s="4">
        <f>(D6+D7-E8)</f>
        <v>500</v>
      </c>
      <c r="K26" s="4">
        <f>M21</f>
        <v>250</v>
      </c>
      <c r="L26" s="1">
        <f t="shared" ref="L26:L27" si="2">J26*K26</f>
        <v>125000</v>
      </c>
    </row>
    <row r="27" spans="1:16" x14ac:dyDescent="0.25">
      <c r="D27" s="1"/>
      <c r="I27" s="6" t="s">
        <v>68</v>
      </c>
      <c r="J27" s="4">
        <f>D9</f>
        <v>800</v>
      </c>
      <c r="K27" s="4">
        <f>G9</f>
        <v>450</v>
      </c>
      <c r="L27" s="11">
        <f t="shared" si="2"/>
        <v>360000</v>
      </c>
    </row>
    <row r="28" spans="1:16" x14ac:dyDescent="0.25">
      <c r="D28" s="1"/>
      <c r="L28" s="1">
        <f>SUM(L25:L27)</f>
        <v>805000</v>
      </c>
    </row>
    <row r="29" spans="1:16" x14ac:dyDescent="0.25">
      <c r="D29" s="1"/>
    </row>
    <row r="30" spans="1:16" x14ac:dyDescent="0.25">
      <c r="D30" s="1"/>
      <c r="I30" s="89" t="s">
        <v>75</v>
      </c>
      <c r="J30" s="89"/>
      <c r="K30" s="89"/>
      <c r="L30" s="89"/>
      <c r="M30" s="89"/>
      <c r="N30" s="89"/>
      <c r="O30" s="89"/>
      <c r="P30" s="89"/>
    </row>
    <row r="31" spans="1:16" x14ac:dyDescent="0.25">
      <c r="I31" s="89" t="s">
        <v>76</v>
      </c>
      <c r="J31" s="89"/>
      <c r="K31" s="89"/>
      <c r="L31" s="89"/>
      <c r="M31" s="89"/>
      <c r="N31" s="89"/>
      <c r="O31" s="89"/>
      <c r="P31" s="89"/>
    </row>
    <row r="32" spans="1:16" x14ac:dyDescent="0.25">
      <c r="I32" s="89" t="s">
        <v>77</v>
      </c>
      <c r="J32" s="89"/>
      <c r="K32" s="89"/>
      <c r="L32" s="89"/>
      <c r="M32" s="89"/>
      <c r="N32" s="89"/>
      <c r="O32" s="89"/>
      <c r="P32" s="89"/>
    </row>
    <row r="33" spans="9:16" x14ac:dyDescent="0.25">
      <c r="I33" s="89"/>
      <c r="J33" s="89"/>
      <c r="K33" s="89"/>
      <c r="L33" s="89"/>
      <c r="M33" s="89"/>
      <c r="N33" s="89"/>
      <c r="O33" s="89"/>
      <c r="P33" s="89"/>
    </row>
    <row r="34" spans="9:16" x14ac:dyDescent="0.25">
      <c r="I34" s="89" t="s">
        <v>78</v>
      </c>
      <c r="J34" s="89"/>
      <c r="K34" s="89"/>
      <c r="L34" s="89"/>
      <c r="M34" s="89"/>
      <c r="N34" s="89"/>
      <c r="O34" s="89"/>
      <c r="P34" s="89"/>
    </row>
    <row r="35" spans="9:16" x14ac:dyDescent="0.25">
      <c r="I35" s="89" t="s">
        <v>79</v>
      </c>
      <c r="J35" s="89"/>
      <c r="K35" s="89"/>
      <c r="L35" s="89"/>
      <c r="M35" s="89"/>
      <c r="N35" s="89"/>
      <c r="O35" s="89"/>
      <c r="P35" s="89"/>
    </row>
    <row r="36" spans="9:16" x14ac:dyDescent="0.25">
      <c r="I36" s="89" t="s">
        <v>80</v>
      </c>
      <c r="J36" s="89"/>
      <c r="K36" s="89"/>
      <c r="L36" s="89"/>
      <c r="M36" s="89"/>
      <c r="N36" s="89"/>
      <c r="O36" s="89"/>
      <c r="P36" s="89"/>
    </row>
    <row r="37" spans="9:16" x14ac:dyDescent="0.25">
      <c r="I37" s="89"/>
      <c r="J37" s="89"/>
      <c r="K37" s="89"/>
      <c r="L37" s="89"/>
      <c r="M37" s="89"/>
      <c r="N37" s="89"/>
      <c r="O37" s="89"/>
      <c r="P37" s="89"/>
    </row>
    <row r="38" spans="9:16" x14ac:dyDescent="0.25">
      <c r="I38" s="90" t="s">
        <v>170</v>
      </c>
      <c r="J38" s="90"/>
      <c r="K38" s="90"/>
      <c r="L38" s="90"/>
      <c r="M38" s="89"/>
      <c r="N38" s="89"/>
      <c r="O38" s="89"/>
      <c r="P38" s="89"/>
    </row>
    <row r="39" spans="9:16" x14ac:dyDescent="0.25">
      <c r="I39" s="90" t="s">
        <v>171</v>
      </c>
      <c r="J39" s="90"/>
      <c r="K39" s="90"/>
      <c r="L39" s="90"/>
      <c r="M39" s="90"/>
      <c r="N39" s="90"/>
      <c r="O39" s="90"/>
      <c r="P39" s="89"/>
    </row>
    <row r="40" spans="9:16" x14ac:dyDescent="0.25">
      <c r="I40" s="89"/>
      <c r="J40" s="89"/>
      <c r="K40" s="89"/>
      <c r="L40" s="89"/>
      <c r="M40" s="90"/>
      <c r="N40" s="90"/>
      <c r="O40" s="90"/>
      <c r="P40" s="89"/>
    </row>
    <row r="53" spans="1:4" x14ac:dyDescent="0.25">
      <c r="D53" s="10"/>
    </row>
    <row r="54" spans="1:4" x14ac:dyDescent="0.25">
      <c r="A54" s="6"/>
      <c r="B54" s="6"/>
      <c r="C54" s="6"/>
      <c r="D54" s="7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9"/>
  <sheetViews>
    <sheetView tabSelected="1" topLeftCell="A9" workbookViewId="0">
      <selection activeCell="A65" sqref="A65"/>
    </sheetView>
  </sheetViews>
  <sheetFormatPr baseColWidth="10" defaultRowHeight="15" x14ac:dyDescent="0.25"/>
  <cols>
    <col min="1" max="1" width="58.5703125" customWidth="1"/>
    <col min="2" max="2" width="14.7109375" bestFit="1" customWidth="1"/>
  </cols>
  <sheetData>
    <row r="1" spans="1:9" ht="21" x14ac:dyDescent="0.35">
      <c r="A1" s="91" t="s">
        <v>172</v>
      </c>
      <c r="B1" s="42"/>
      <c r="C1" s="42"/>
      <c r="D1" s="42"/>
      <c r="E1" s="42"/>
      <c r="F1" s="42"/>
      <c r="G1" s="42"/>
      <c r="H1" s="42"/>
      <c r="I1" s="42"/>
    </row>
    <row r="2" spans="1:9" ht="21" x14ac:dyDescent="0.35">
      <c r="A2" s="91" t="s">
        <v>81</v>
      </c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41"/>
      <c r="B3" s="42"/>
      <c r="C3" s="42"/>
      <c r="D3" s="42"/>
      <c r="E3" s="42"/>
      <c r="F3" s="42"/>
      <c r="G3" s="42"/>
      <c r="H3" s="42"/>
      <c r="I3" s="42"/>
    </row>
    <row r="4" spans="1:9" ht="18.75" x14ac:dyDescent="0.3">
      <c r="A4" s="43" t="s">
        <v>82</v>
      </c>
      <c r="B4" s="42"/>
      <c r="C4" s="42"/>
      <c r="D4" s="42"/>
      <c r="E4" s="42"/>
      <c r="F4" s="42"/>
      <c r="G4" s="42"/>
      <c r="H4" s="42"/>
      <c r="I4" s="42"/>
    </row>
    <row r="5" spans="1:9" x14ac:dyDescent="0.25">
      <c r="A5" s="44" t="s">
        <v>83</v>
      </c>
      <c r="B5" s="44" t="s">
        <v>84</v>
      </c>
      <c r="C5" s="44" t="s">
        <v>85</v>
      </c>
      <c r="D5" s="44" t="s">
        <v>86</v>
      </c>
      <c r="E5" s="44" t="s">
        <v>87</v>
      </c>
      <c r="F5" s="44" t="s">
        <v>88</v>
      </c>
      <c r="G5" s="42"/>
      <c r="H5" s="42"/>
      <c r="I5" s="42"/>
    </row>
    <row r="6" spans="1:9" x14ac:dyDescent="0.25">
      <c r="A6" s="45" t="s">
        <v>89</v>
      </c>
      <c r="B6" s="46">
        <v>189846</v>
      </c>
      <c r="C6" s="46">
        <v>124019</v>
      </c>
      <c r="D6" s="46">
        <v>94387</v>
      </c>
      <c r="E6" s="46">
        <v>60902</v>
      </c>
      <c r="F6" s="46">
        <v>39753</v>
      </c>
      <c r="G6" s="42"/>
      <c r="H6" s="42"/>
      <c r="I6" s="42"/>
    </row>
    <row r="7" spans="1:9" x14ac:dyDescent="0.25">
      <c r="A7" s="42" t="s">
        <v>90</v>
      </c>
      <c r="B7" s="47">
        <v>189692</v>
      </c>
      <c r="C7" s="47">
        <v>123923</v>
      </c>
      <c r="D7" s="47">
        <v>94317</v>
      </c>
      <c r="E7" s="47">
        <v>60902</v>
      </c>
      <c r="F7" s="47">
        <v>39753</v>
      </c>
      <c r="G7" s="42"/>
      <c r="H7" s="42"/>
      <c r="I7" s="42"/>
    </row>
    <row r="8" spans="1:9" x14ac:dyDescent="0.25">
      <c r="A8" s="48" t="s">
        <v>91</v>
      </c>
      <c r="B8" s="48">
        <v>153</v>
      </c>
      <c r="C8" s="48">
        <v>96</v>
      </c>
      <c r="D8" s="48">
        <v>70</v>
      </c>
      <c r="E8" s="48" t="s">
        <v>92</v>
      </c>
      <c r="F8" s="48" t="s">
        <v>92</v>
      </c>
      <c r="G8" s="42"/>
      <c r="H8" s="42"/>
      <c r="I8" s="42"/>
    </row>
    <row r="9" spans="1:9" x14ac:dyDescent="0.25">
      <c r="A9" s="42" t="s">
        <v>93</v>
      </c>
      <c r="B9" s="47">
        <v>151463</v>
      </c>
      <c r="C9" s="47">
        <v>97896</v>
      </c>
      <c r="D9" s="47">
        <v>75826</v>
      </c>
      <c r="E9" s="47">
        <v>50067</v>
      </c>
      <c r="F9" s="47">
        <v>33199</v>
      </c>
      <c r="G9" s="42"/>
      <c r="H9" s="42"/>
      <c r="I9" s="42"/>
    </row>
    <row r="10" spans="1:9" x14ac:dyDescent="0.25">
      <c r="A10" s="93" t="s">
        <v>94</v>
      </c>
      <c r="B10" s="94">
        <v>15172</v>
      </c>
      <c r="C10" s="94">
        <v>10627</v>
      </c>
      <c r="D10" s="94">
        <v>9514</v>
      </c>
      <c r="E10" s="94">
        <v>4755</v>
      </c>
      <c r="F10" s="94">
        <v>2523</v>
      </c>
      <c r="G10" s="42"/>
      <c r="H10" s="42"/>
      <c r="I10" s="42"/>
    </row>
    <row r="11" spans="1:9" x14ac:dyDescent="0.25">
      <c r="A11" s="95" t="s">
        <v>95</v>
      </c>
      <c r="B11" s="95">
        <v>791</v>
      </c>
      <c r="C11" s="95">
        <v>816</v>
      </c>
      <c r="D11" s="95">
        <v>405</v>
      </c>
      <c r="E11" s="95">
        <v>199</v>
      </c>
      <c r="F11" s="95">
        <v>72</v>
      </c>
      <c r="G11" s="42"/>
      <c r="H11" s="42"/>
      <c r="I11" s="42"/>
    </row>
    <row r="12" spans="1:9" x14ac:dyDescent="0.25">
      <c r="A12" s="48" t="s">
        <v>96</v>
      </c>
      <c r="B12" s="49">
        <v>12625</v>
      </c>
      <c r="C12" s="49">
        <v>9349</v>
      </c>
      <c r="D12" s="49">
        <v>6049</v>
      </c>
      <c r="E12" s="49">
        <v>3259</v>
      </c>
      <c r="F12" s="49">
        <v>2115</v>
      </c>
      <c r="G12" s="42"/>
      <c r="H12" s="42"/>
      <c r="I12" s="42"/>
    </row>
    <row r="13" spans="1:9" x14ac:dyDescent="0.25">
      <c r="A13" s="50" t="s">
        <v>97</v>
      </c>
      <c r="B13" s="51">
        <v>9795</v>
      </c>
      <c r="C13" s="51">
        <v>5331</v>
      </c>
      <c r="D13" s="51">
        <v>2593</v>
      </c>
      <c r="E13" s="51">
        <v>2622</v>
      </c>
      <c r="F13" s="51">
        <v>1844</v>
      </c>
      <c r="G13" s="42"/>
      <c r="H13" s="42"/>
      <c r="I13" s="42"/>
    </row>
    <row r="14" spans="1:9" x14ac:dyDescent="0.25">
      <c r="A14" s="52" t="s">
        <v>98</v>
      </c>
      <c r="B14" s="48">
        <v>150</v>
      </c>
      <c r="C14" s="48">
        <v>53</v>
      </c>
      <c r="D14" s="48">
        <v>29</v>
      </c>
      <c r="E14" s="48">
        <v>4</v>
      </c>
      <c r="F14" s="48">
        <v>2</v>
      </c>
      <c r="G14" s="42"/>
      <c r="H14" s="42"/>
      <c r="I14" s="42"/>
    </row>
    <row r="15" spans="1:9" x14ac:dyDescent="0.25">
      <c r="A15" s="53" t="s">
        <v>99</v>
      </c>
      <c r="B15" s="42">
        <v>81</v>
      </c>
      <c r="C15" s="42">
        <v>189</v>
      </c>
      <c r="D15" s="42">
        <v>34</v>
      </c>
      <c r="E15" s="42">
        <v>5</v>
      </c>
      <c r="F15" s="42">
        <v>10</v>
      </c>
      <c r="G15" s="42"/>
      <c r="H15" s="42"/>
      <c r="I15" s="42"/>
    </row>
    <row r="16" spans="1:9" x14ac:dyDescent="0.25">
      <c r="A16" s="45" t="s">
        <v>100</v>
      </c>
      <c r="B16" s="46">
        <v>9863</v>
      </c>
      <c r="C16" s="46">
        <v>5195</v>
      </c>
      <c r="D16" s="46">
        <v>2588</v>
      </c>
      <c r="E16" s="46">
        <v>2621</v>
      </c>
      <c r="F16" s="46">
        <v>1836</v>
      </c>
      <c r="G16" s="42"/>
      <c r="H16" s="42"/>
      <c r="I16" s="42"/>
    </row>
    <row r="17" spans="1:9" x14ac:dyDescent="0.25">
      <c r="A17" s="53" t="s">
        <v>7</v>
      </c>
      <c r="B17" s="47">
        <v>2762</v>
      </c>
      <c r="C17" s="47">
        <v>1465</v>
      </c>
      <c r="D17" s="42">
        <v>736</v>
      </c>
      <c r="E17" s="42">
        <v>735</v>
      </c>
      <c r="F17" s="42">
        <v>516</v>
      </c>
      <c r="G17" s="42"/>
      <c r="H17" s="42"/>
      <c r="I17" s="42"/>
    </row>
    <row r="18" spans="1:9" x14ac:dyDescent="0.25">
      <c r="A18" s="50" t="s">
        <v>8</v>
      </c>
      <c r="B18" s="51">
        <v>7101</v>
      </c>
      <c r="C18" s="51">
        <v>3730</v>
      </c>
      <c r="D18" s="51">
        <v>1852</v>
      </c>
      <c r="E18" s="51">
        <v>1885</v>
      </c>
      <c r="F18" s="51">
        <v>1320</v>
      </c>
      <c r="G18" s="42"/>
      <c r="H18" s="42"/>
      <c r="I18" s="42"/>
    </row>
    <row r="19" spans="1:9" x14ac:dyDescent="0.25">
      <c r="A19" s="42"/>
      <c r="B19" s="42"/>
      <c r="C19" s="42"/>
      <c r="D19" s="42"/>
      <c r="E19" s="42"/>
      <c r="F19" s="42"/>
      <c r="G19" s="42"/>
      <c r="H19" s="42"/>
      <c r="I19" s="42"/>
    </row>
    <row r="20" spans="1:9" ht="18.75" x14ac:dyDescent="0.3">
      <c r="A20" s="43" t="s">
        <v>101</v>
      </c>
      <c r="B20" s="42"/>
      <c r="C20" s="42"/>
      <c r="D20" s="42"/>
      <c r="E20" s="42"/>
      <c r="F20" s="42"/>
      <c r="G20" s="42"/>
      <c r="H20" s="42"/>
      <c r="I20" s="42"/>
    </row>
    <row r="21" spans="1:9" x14ac:dyDescent="0.25">
      <c r="A21" s="44" t="s">
        <v>83</v>
      </c>
      <c r="B21" s="44" t="s">
        <v>84</v>
      </c>
      <c r="C21" s="44" t="s">
        <v>85</v>
      </c>
      <c r="D21" s="44" t="s">
        <v>86</v>
      </c>
      <c r="E21" s="44" t="s">
        <v>87</v>
      </c>
      <c r="F21" s="44" t="s">
        <v>88</v>
      </c>
      <c r="G21" s="42"/>
      <c r="H21" s="42"/>
      <c r="I21" s="42"/>
    </row>
    <row r="22" spans="1:9" x14ac:dyDescent="0.25">
      <c r="A22" s="45" t="s">
        <v>102</v>
      </c>
      <c r="B22" s="46">
        <v>1329</v>
      </c>
      <c r="C22" s="46">
        <v>2031</v>
      </c>
      <c r="D22" s="46">
        <v>2569</v>
      </c>
      <c r="E22" s="45">
        <v>825</v>
      </c>
      <c r="F22" s="45">
        <v>430</v>
      </c>
      <c r="G22" s="42"/>
      <c r="H22" s="42"/>
      <c r="I22" s="42"/>
    </row>
    <row r="23" spans="1:9" x14ac:dyDescent="0.25">
      <c r="A23" s="42" t="s">
        <v>103</v>
      </c>
      <c r="B23" s="42">
        <v>2</v>
      </c>
      <c r="C23" s="42" t="s">
        <v>92</v>
      </c>
      <c r="D23" s="42" t="s">
        <v>92</v>
      </c>
      <c r="E23" s="42" t="s">
        <v>92</v>
      </c>
      <c r="F23" s="42" t="s">
        <v>92</v>
      </c>
      <c r="G23" s="42"/>
      <c r="H23" s="42"/>
      <c r="I23" s="42"/>
    </row>
    <row r="24" spans="1:9" x14ac:dyDescent="0.25">
      <c r="A24" s="48" t="s">
        <v>104</v>
      </c>
      <c r="B24" s="48">
        <v>2</v>
      </c>
      <c r="C24" s="48" t="s">
        <v>92</v>
      </c>
      <c r="D24" s="48" t="s">
        <v>92</v>
      </c>
      <c r="E24" s="48" t="s">
        <v>92</v>
      </c>
      <c r="F24" s="48" t="s">
        <v>92</v>
      </c>
      <c r="G24" s="42"/>
      <c r="H24" s="42"/>
      <c r="I24" s="42"/>
    </row>
    <row r="25" spans="1:9" x14ac:dyDescent="0.25">
      <c r="A25" s="42" t="s">
        <v>105</v>
      </c>
      <c r="B25" s="42" t="s">
        <v>92</v>
      </c>
      <c r="C25" s="42" t="s">
        <v>92</v>
      </c>
      <c r="D25" s="42" t="s">
        <v>92</v>
      </c>
      <c r="E25" s="42" t="s">
        <v>92</v>
      </c>
      <c r="F25" s="42" t="s">
        <v>92</v>
      </c>
      <c r="G25" s="42"/>
      <c r="H25" s="42"/>
      <c r="I25" s="42"/>
    </row>
    <row r="26" spans="1:9" x14ac:dyDescent="0.25">
      <c r="A26" s="48" t="s">
        <v>106</v>
      </c>
      <c r="B26" s="49">
        <v>1328</v>
      </c>
      <c r="C26" s="49">
        <v>2031</v>
      </c>
      <c r="D26" s="49">
        <v>2569</v>
      </c>
      <c r="E26" s="48">
        <v>825</v>
      </c>
      <c r="F26" s="48">
        <v>430</v>
      </c>
      <c r="G26" s="42"/>
      <c r="H26" s="42"/>
      <c r="I26" s="42"/>
    </row>
    <row r="27" spans="1:9" x14ac:dyDescent="0.25">
      <c r="A27" s="95" t="s">
        <v>107</v>
      </c>
      <c r="B27" s="95" t="s">
        <v>92</v>
      </c>
      <c r="C27" s="95">
        <v>26</v>
      </c>
      <c r="D27" s="95">
        <v>51</v>
      </c>
      <c r="E27" s="95">
        <v>77</v>
      </c>
      <c r="F27" s="95">
        <v>102</v>
      </c>
      <c r="G27" s="42"/>
      <c r="H27" s="42"/>
      <c r="I27" s="42"/>
    </row>
    <row r="28" spans="1:9" x14ac:dyDescent="0.25">
      <c r="A28" s="48" t="s">
        <v>108</v>
      </c>
      <c r="B28" s="49">
        <v>1328</v>
      </c>
      <c r="C28" s="49">
        <v>2005</v>
      </c>
      <c r="D28" s="49">
        <v>2518</v>
      </c>
      <c r="E28" s="48">
        <v>748</v>
      </c>
      <c r="F28" s="48">
        <v>328</v>
      </c>
      <c r="G28" s="42"/>
      <c r="H28" s="42"/>
      <c r="I28" s="42"/>
    </row>
    <row r="29" spans="1:9" x14ac:dyDescent="0.25">
      <c r="A29" s="95" t="s">
        <v>109</v>
      </c>
      <c r="B29" s="95">
        <v>-1</v>
      </c>
      <c r="C29" s="95" t="s">
        <v>92</v>
      </c>
      <c r="D29" s="95" t="s">
        <v>92</v>
      </c>
      <c r="E29" s="95" t="s">
        <v>92</v>
      </c>
      <c r="F29" s="95" t="s">
        <v>92</v>
      </c>
      <c r="G29" s="42"/>
      <c r="H29" s="42"/>
      <c r="I29" s="42"/>
    </row>
    <row r="30" spans="1:9" x14ac:dyDescent="0.25">
      <c r="A30" s="96" t="s">
        <v>110</v>
      </c>
      <c r="B30" s="97">
        <v>26044</v>
      </c>
      <c r="C30" s="97">
        <v>12318</v>
      </c>
      <c r="D30" s="97">
        <v>8751</v>
      </c>
      <c r="E30" s="97">
        <v>7177</v>
      </c>
      <c r="F30" s="97">
        <v>6229</v>
      </c>
      <c r="G30" s="42"/>
      <c r="H30" s="42"/>
      <c r="I30" s="42"/>
    </row>
    <row r="31" spans="1:9" x14ac:dyDescent="0.25">
      <c r="A31" s="95" t="s">
        <v>111</v>
      </c>
      <c r="B31" s="98">
        <v>15435</v>
      </c>
      <c r="C31" s="98">
        <v>8790</v>
      </c>
      <c r="D31" s="98">
        <v>5463</v>
      </c>
      <c r="E31" s="98">
        <v>4613</v>
      </c>
      <c r="F31" s="98">
        <v>2491</v>
      </c>
      <c r="G31" s="42"/>
      <c r="H31" s="42"/>
      <c r="I31" s="42"/>
    </row>
    <row r="32" spans="1:9" x14ac:dyDescent="0.25">
      <c r="A32" s="93" t="s">
        <v>112</v>
      </c>
      <c r="B32" s="94">
        <v>15435</v>
      </c>
      <c r="C32" s="94">
        <v>8790</v>
      </c>
      <c r="D32" s="94">
        <v>5463</v>
      </c>
      <c r="E32" s="94">
        <v>4613</v>
      </c>
      <c r="F32" s="94">
        <v>2491</v>
      </c>
      <c r="G32" s="42"/>
      <c r="H32" s="42"/>
      <c r="I32" s="42"/>
    </row>
    <row r="33" spans="1:9" x14ac:dyDescent="0.25">
      <c r="A33" s="95" t="s">
        <v>113</v>
      </c>
      <c r="B33" s="98">
        <v>8735</v>
      </c>
      <c r="C33" s="98">
        <v>1888</v>
      </c>
      <c r="D33" s="98">
        <v>2152</v>
      </c>
      <c r="E33" s="98">
        <v>1246</v>
      </c>
      <c r="F33" s="95">
        <v>808</v>
      </c>
      <c r="G33" s="42"/>
      <c r="H33" s="42"/>
      <c r="I33" s="42"/>
    </row>
    <row r="34" spans="1:9" x14ac:dyDescent="0.25">
      <c r="A34" s="93" t="s">
        <v>114</v>
      </c>
      <c r="B34" s="94">
        <v>8735</v>
      </c>
      <c r="C34" s="94">
        <v>1798</v>
      </c>
      <c r="D34" s="94">
        <v>2051</v>
      </c>
      <c r="E34" s="94">
        <v>1212</v>
      </c>
      <c r="F34" s="93">
        <v>685</v>
      </c>
      <c r="G34" s="42"/>
      <c r="H34" s="42"/>
      <c r="I34" s="42"/>
    </row>
    <row r="35" spans="1:9" x14ac:dyDescent="0.25">
      <c r="A35" s="95" t="s">
        <v>115</v>
      </c>
      <c r="B35" s="95" t="s">
        <v>92</v>
      </c>
      <c r="C35" s="95">
        <v>91</v>
      </c>
      <c r="D35" s="95">
        <v>101</v>
      </c>
      <c r="E35" s="95">
        <v>34</v>
      </c>
      <c r="F35" s="95">
        <v>124</v>
      </c>
      <c r="G35" s="42"/>
      <c r="H35" s="42"/>
      <c r="I35" s="42"/>
    </row>
    <row r="36" spans="1:9" x14ac:dyDescent="0.25">
      <c r="A36" s="93" t="s">
        <v>116</v>
      </c>
      <c r="B36" s="94">
        <v>1874</v>
      </c>
      <c r="C36" s="94">
        <v>1639</v>
      </c>
      <c r="D36" s="94">
        <v>1136</v>
      </c>
      <c r="E36" s="94">
        <v>1318</v>
      </c>
      <c r="F36" s="94">
        <v>2930</v>
      </c>
      <c r="G36" s="42"/>
      <c r="H36" s="42"/>
      <c r="I36" s="42"/>
    </row>
    <row r="37" spans="1:9" x14ac:dyDescent="0.25">
      <c r="A37" s="95" t="s">
        <v>117</v>
      </c>
      <c r="B37" s="95" t="s">
        <v>92</v>
      </c>
      <c r="C37" s="95" t="s">
        <v>92</v>
      </c>
      <c r="D37" s="95" t="s">
        <v>92</v>
      </c>
      <c r="E37" s="95" t="s">
        <v>92</v>
      </c>
      <c r="F37" s="95">
        <v>-1</v>
      </c>
      <c r="G37" s="42"/>
      <c r="H37" s="42"/>
      <c r="I37" s="42"/>
    </row>
    <row r="38" spans="1:9" x14ac:dyDescent="0.25">
      <c r="A38" s="54" t="s">
        <v>118</v>
      </c>
      <c r="B38" s="92">
        <v>27373</v>
      </c>
      <c r="C38" s="92">
        <v>14349</v>
      </c>
      <c r="D38" s="92">
        <v>11320</v>
      </c>
      <c r="E38" s="92">
        <v>8002</v>
      </c>
      <c r="F38" s="92">
        <v>6659</v>
      </c>
      <c r="G38" s="42"/>
      <c r="H38" s="42"/>
      <c r="I38" s="42"/>
    </row>
    <row r="39" spans="1:9" x14ac:dyDescent="0.25">
      <c r="G39" s="42"/>
      <c r="H39" s="42"/>
      <c r="I39" s="42"/>
    </row>
    <row r="40" spans="1:9" x14ac:dyDescent="0.25">
      <c r="A40" s="45" t="s">
        <v>119</v>
      </c>
      <c r="B40" s="46">
        <v>2738</v>
      </c>
      <c r="C40" s="46">
        <v>1436</v>
      </c>
      <c r="D40" s="46">
        <v>1132</v>
      </c>
      <c r="E40" s="45">
        <v>801</v>
      </c>
      <c r="F40" s="45">
        <v>666</v>
      </c>
      <c r="G40" s="42"/>
      <c r="H40" s="42"/>
      <c r="I40" s="42"/>
    </row>
    <row r="41" spans="1:9" x14ac:dyDescent="0.25">
      <c r="A41" s="42" t="s">
        <v>120</v>
      </c>
      <c r="B41" s="42">
        <v>100</v>
      </c>
      <c r="C41" s="42">
        <v>100</v>
      </c>
      <c r="D41" s="42">
        <v>100</v>
      </c>
      <c r="E41" s="42">
        <v>100</v>
      </c>
      <c r="F41" s="42">
        <v>100</v>
      </c>
      <c r="G41" s="42"/>
      <c r="H41" s="42"/>
      <c r="I41" s="42"/>
    </row>
    <row r="42" spans="1:9" x14ac:dyDescent="0.25">
      <c r="A42" s="48" t="s">
        <v>121</v>
      </c>
      <c r="B42" s="48">
        <v>100</v>
      </c>
      <c r="C42" s="48">
        <v>100</v>
      </c>
      <c r="D42" s="48">
        <v>100</v>
      </c>
      <c r="E42" s="48">
        <v>100</v>
      </c>
      <c r="F42" s="48">
        <v>100</v>
      </c>
      <c r="G42" s="42"/>
      <c r="H42" s="42"/>
      <c r="I42" s="42"/>
    </row>
    <row r="43" spans="1:9" x14ac:dyDescent="0.25">
      <c r="A43" s="42" t="s">
        <v>122</v>
      </c>
      <c r="B43" s="42" t="s">
        <v>92</v>
      </c>
      <c r="C43" s="42" t="s">
        <v>92</v>
      </c>
      <c r="D43" s="42" t="s">
        <v>92</v>
      </c>
      <c r="E43" s="42" t="s">
        <v>92</v>
      </c>
      <c r="F43" s="42" t="s">
        <v>92</v>
      </c>
      <c r="G43" s="42"/>
      <c r="H43" s="42"/>
      <c r="I43" s="42"/>
    </row>
    <row r="44" spans="1:9" x14ac:dyDescent="0.25">
      <c r="A44" s="48" t="s">
        <v>123</v>
      </c>
      <c r="B44" s="49">
        <v>2638</v>
      </c>
      <c r="C44" s="49">
        <v>1336</v>
      </c>
      <c r="D44" s="49">
        <v>1032</v>
      </c>
      <c r="E44" s="48">
        <v>701</v>
      </c>
      <c r="F44" s="48">
        <v>566</v>
      </c>
      <c r="G44" s="42"/>
      <c r="H44" s="42"/>
      <c r="I44" s="42"/>
    </row>
    <row r="45" spans="1:9" x14ac:dyDescent="0.25">
      <c r="A45" s="95" t="s">
        <v>124</v>
      </c>
      <c r="B45" s="98">
        <v>2638</v>
      </c>
      <c r="C45" s="98">
        <v>1336</v>
      </c>
      <c r="D45" s="98">
        <v>1032</v>
      </c>
      <c r="E45" s="95">
        <v>701</v>
      </c>
      <c r="F45" s="95">
        <v>566</v>
      </c>
      <c r="G45" s="42"/>
      <c r="H45" s="42"/>
      <c r="I45" s="42"/>
    </row>
    <row r="46" spans="1:9" x14ac:dyDescent="0.25">
      <c r="A46" s="96" t="s">
        <v>125</v>
      </c>
      <c r="B46" s="97">
        <v>24635</v>
      </c>
      <c r="C46" s="97">
        <v>12913</v>
      </c>
      <c r="D46" s="97">
        <v>10188</v>
      </c>
      <c r="E46" s="97">
        <v>7201</v>
      </c>
      <c r="F46" s="97">
        <v>5993</v>
      </c>
      <c r="G46" s="42"/>
      <c r="H46" s="42"/>
      <c r="I46" s="42"/>
    </row>
    <row r="47" spans="1:9" x14ac:dyDescent="0.25">
      <c r="A47" s="99" t="s">
        <v>126</v>
      </c>
      <c r="B47" s="99" t="s">
        <v>92</v>
      </c>
      <c r="C47" s="99">
        <v>39</v>
      </c>
      <c r="D47" s="99">
        <v>85</v>
      </c>
      <c r="E47" s="99">
        <v>17</v>
      </c>
      <c r="F47" s="99">
        <v>23</v>
      </c>
      <c r="G47" s="42"/>
      <c r="H47" s="42"/>
      <c r="I47" s="42"/>
    </row>
    <row r="48" spans="1:9" x14ac:dyDescent="0.25">
      <c r="A48" s="93" t="s">
        <v>127</v>
      </c>
      <c r="B48" s="93" t="s">
        <v>92</v>
      </c>
      <c r="C48" s="93">
        <v>39</v>
      </c>
      <c r="D48" s="93">
        <v>85</v>
      </c>
      <c r="E48" s="93">
        <v>17</v>
      </c>
      <c r="F48" s="93">
        <v>23</v>
      </c>
      <c r="G48" s="42"/>
      <c r="H48" s="42"/>
      <c r="I48" s="42"/>
    </row>
    <row r="49" spans="1:9" x14ac:dyDescent="0.25">
      <c r="A49" s="42" t="s">
        <v>2</v>
      </c>
      <c r="B49" s="42" t="s">
        <v>92</v>
      </c>
      <c r="C49" s="42">
        <v>39</v>
      </c>
      <c r="D49" s="42">
        <v>85</v>
      </c>
      <c r="E49" s="42">
        <v>17</v>
      </c>
      <c r="F49" s="42">
        <v>23</v>
      </c>
      <c r="G49" s="42"/>
      <c r="H49" s="42"/>
      <c r="I49" s="42"/>
    </row>
    <row r="50" spans="1:9" x14ac:dyDescent="0.25">
      <c r="A50" s="45" t="s">
        <v>128</v>
      </c>
      <c r="B50" s="46">
        <v>24635</v>
      </c>
      <c r="C50" s="46">
        <v>12874</v>
      </c>
      <c r="D50" s="46">
        <v>10103</v>
      </c>
      <c r="E50" s="46">
        <v>7184</v>
      </c>
      <c r="F50" s="46">
        <v>5970</v>
      </c>
      <c r="G50" s="42"/>
      <c r="H50" s="42"/>
      <c r="I50" s="42"/>
    </row>
    <row r="51" spans="1:9" x14ac:dyDescent="0.25">
      <c r="A51" s="95" t="s">
        <v>129</v>
      </c>
      <c r="B51" s="98">
        <v>2386</v>
      </c>
      <c r="C51" s="98">
        <v>3733</v>
      </c>
      <c r="D51" s="98">
        <v>2350</v>
      </c>
      <c r="E51" s="98">
        <v>3219</v>
      </c>
      <c r="F51" s="98">
        <v>3059</v>
      </c>
      <c r="G51" s="42"/>
      <c r="H51" s="42"/>
      <c r="I51" s="42"/>
    </row>
    <row r="52" spans="1:9" x14ac:dyDescent="0.25">
      <c r="A52" s="93" t="s">
        <v>23</v>
      </c>
      <c r="B52" s="93">
        <v>548</v>
      </c>
      <c r="C52" s="93">
        <v>178</v>
      </c>
      <c r="D52" s="93">
        <v>74</v>
      </c>
      <c r="E52" s="93">
        <v>741</v>
      </c>
      <c r="F52" s="93">
        <v>149</v>
      </c>
      <c r="G52" s="42"/>
      <c r="H52" s="42"/>
      <c r="I52" s="42"/>
    </row>
    <row r="53" spans="1:9" x14ac:dyDescent="0.25">
      <c r="A53" s="95" t="s">
        <v>130</v>
      </c>
      <c r="B53" s="98">
        <v>1565</v>
      </c>
      <c r="C53" s="98">
        <v>1752</v>
      </c>
      <c r="D53" s="98">
        <v>1598</v>
      </c>
      <c r="E53" s="95">
        <v>572</v>
      </c>
      <c r="F53" s="95">
        <v>896</v>
      </c>
      <c r="G53" s="42"/>
      <c r="H53" s="42"/>
      <c r="I53" s="42"/>
    </row>
    <row r="54" spans="1:9" x14ac:dyDescent="0.25">
      <c r="A54" s="93" t="s">
        <v>131</v>
      </c>
      <c r="B54" s="94">
        <v>15602</v>
      </c>
      <c r="C54" s="94">
        <v>4760</v>
      </c>
      <c r="D54" s="94">
        <v>4434</v>
      </c>
      <c r="E54" s="93" t="s">
        <v>92</v>
      </c>
      <c r="F54" s="94">
        <v>1268</v>
      </c>
      <c r="G54" s="42"/>
      <c r="H54" s="42"/>
      <c r="I54" s="42"/>
    </row>
    <row r="55" spans="1:9" x14ac:dyDescent="0.25">
      <c r="A55" s="42" t="s">
        <v>132</v>
      </c>
      <c r="B55" s="47">
        <v>4534</v>
      </c>
      <c r="C55" s="47">
        <v>2451</v>
      </c>
      <c r="D55" s="47">
        <v>1647</v>
      </c>
      <c r="E55" s="47">
        <v>2652</v>
      </c>
      <c r="F55" s="42">
        <v>598</v>
      </c>
      <c r="G55" s="42"/>
      <c r="H55" s="42"/>
      <c r="I55" s="42"/>
    </row>
    <row r="56" spans="1:9" x14ac:dyDescent="0.25">
      <c r="A56" s="54" t="s">
        <v>133</v>
      </c>
      <c r="B56" s="55">
        <v>27373</v>
      </c>
      <c r="C56" s="55">
        <v>14349</v>
      </c>
      <c r="D56" s="55">
        <v>11320</v>
      </c>
      <c r="E56" s="55">
        <v>8002</v>
      </c>
      <c r="F56" s="55">
        <v>6659</v>
      </c>
      <c r="G56" s="41"/>
      <c r="H56" s="41"/>
      <c r="I56" s="41"/>
    </row>
    <row r="57" spans="1:9" x14ac:dyDescent="0.25">
      <c r="A57" s="42"/>
      <c r="B57" s="42"/>
      <c r="C57" s="42"/>
      <c r="D57" s="42"/>
      <c r="E57" s="42"/>
      <c r="F57" s="42"/>
      <c r="G57" s="42"/>
      <c r="H57" s="42"/>
      <c r="I57" s="42"/>
    </row>
    <row r="58" spans="1:9" ht="21" x14ac:dyDescent="0.35">
      <c r="A58" s="56" t="s">
        <v>167</v>
      </c>
      <c r="B58" s="42"/>
      <c r="C58" s="42"/>
      <c r="D58" s="42"/>
      <c r="E58" s="42"/>
      <c r="F58" s="42"/>
      <c r="G58" s="42"/>
      <c r="H58" s="42"/>
      <c r="I58" s="42"/>
    </row>
    <row r="59" spans="1:9" ht="15.75" x14ac:dyDescent="0.25">
      <c r="A59" s="57" t="s">
        <v>134</v>
      </c>
      <c r="B59" s="42"/>
      <c r="C59" s="42"/>
      <c r="D59" s="42"/>
      <c r="E59" s="42"/>
      <c r="F59" s="42"/>
      <c r="G59" s="42"/>
      <c r="H59" s="42"/>
      <c r="I59" s="42"/>
    </row>
    <row r="60" spans="1:9" ht="15.75" thickBot="1" x14ac:dyDescent="0.3">
      <c r="A60" s="58"/>
      <c r="B60" s="44" t="s">
        <v>84</v>
      </c>
      <c r="C60" s="44" t="s">
        <v>85</v>
      </c>
      <c r="D60" s="44" t="s">
        <v>86</v>
      </c>
      <c r="E60" s="44" t="s">
        <v>87</v>
      </c>
      <c r="F60" s="42"/>
      <c r="G60" s="42"/>
      <c r="H60" s="42"/>
      <c r="I60" s="42"/>
    </row>
    <row r="61" spans="1:9" ht="18.75" x14ac:dyDescent="0.3">
      <c r="A61" s="66" t="s">
        <v>135</v>
      </c>
      <c r="B61" s="67">
        <f>(B7-B9)/B7</f>
        <v>0.20153195706724586</v>
      </c>
      <c r="C61" s="67">
        <v>0.21</v>
      </c>
      <c r="D61" s="67">
        <v>0.19600000000000001</v>
      </c>
      <c r="E61" s="67">
        <v>0.17799999999999999</v>
      </c>
      <c r="F61" s="42"/>
      <c r="G61" s="42"/>
      <c r="H61" s="42"/>
      <c r="I61" s="42"/>
    </row>
    <row r="62" spans="1:9" ht="18.75" x14ac:dyDescent="0.3">
      <c r="A62" s="68" t="s">
        <v>136</v>
      </c>
      <c r="B62" s="69">
        <f>(B15+B16)/B6</f>
        <v>5.2379296903806244E-2</v>
      </c>
      <c r="C62" s="69">
        <v>4.2999999999999997E-2</v>
      </c>
      <c r="D62" s="69">
        <v>2.8000000000000001E-2</v>
      </c>
      <c r="E62" s="69">
        <v>4.2999999999999997E-2</v>
      </c>
      <c r="F62" s="42"/>
      <c r="G62" s="42"/>
      <c r="H62" s="42"/>
      <c r="I62" s="42"/>
    </row>
    <row r="63" spans="1:9" ht="18.75" x14ac:dyDescent="0.3">
      <c r="A63" s="68" t="s">
        <v>137</v>
      </c>
      <c r="B63" s="70">
        <f>B6/((B38+C38)/2)</f>
        <v>9.1005225061118828</v>
      </c>
      <c r="C63" s="70">
        <v>9.6999999999999993</v>
      </c>
      <c r="D63" s="70">
        <v>9.8000000000000007</v>
      </c>
      <c r="E63" s="70">
        <v>8.3000000000000007</v>
      </c>
      <c r="F63" s="42"/>
      <c r="G63" s="42"/>
      <c r="H63" s="42"/>
      <c r="I63" s="42"/>
    </row>
    <row r="64" spans="1:9" ht="18.75" x14ac:dyDescent="0.3">
      <c r="A64" s="68" t="s">
        <v>138</v>
      </c>
      <c r="B64" s="69">
        <f>B62*B63</f>
        <v>0.47667897032740519</v>
      </c>
      <c r="C64" s="69">
        <v>0.41899999999999998</v>
      </c>
      <c r="D64" s="69">
        <v>0.27100000000000002</v>
      </c>
      <c r="E64" s="69">
        <v>0.35799999999999998</v>
      </c>
      <c r="F64" s="42"/>
      <c r="G64" s="42"/>
      <c r="H64" s="42"/>
      <c r="I64" s="42"/>
    </row>
    <row r="65" spans="1:11" ht="18.75" x14ac:dyDescent="0.3">
      <c r="A65" s="68" t="s">
        <v>277</v>
      </c>
      <c r="B65" s="69">
        <f>B15/((B46+C46)/2)</f>
        <v>4.314477468839885E-3</v>
      </c>
      <c r="C65" s="69">
        <v>1.6400000000000001E-2</v>
      </c>
      <c r="D65" s="69">
        <v>3.8999999999999998E-3</v>
      </c>
      <c r="E65" s="69">
        <v>8.0000000000000004E-4</v>
      </c>
      <c r="F65" s="42"/>
      <c r="G65" s="42"/>
      <c r="H65" s="42"/>
      <c r="I65" s="42"/>
    </row>
    <row r="66" spans="1:11" ht="18.75" x14ac:dyDescent="0.3">
      <c r="A66" s="68" t="s">
        <v>139</v>
      </c>
      <c r="B66" s="70">
        <f>((B46+C46)/2)/((B40+C40)/2)</f>
        <v>8.9956875898418787</v>
      </c>
      <c r="C66" s="70">
        <v>9</v>
      </c>
      <c r="D66" s="70">
        <v>9</v>
      </c>
      <c r="E66" s="70">
        <v>9</v>
      </c>
      <c r="F66" s="42"/>
      <c r="G66" s="42"/>
      <c r="H66" s="42"/>
      <c r="I66" s="42"/>
    </row>
    <row r="67" spans="1:11" ht="18.75" x14ac:dyDescent="0.3">
      <c r="A67" s="68" t="s">
        <v>140</v>
      </c>
      <c r="B67" s="69">
        <f>B64+(B64-B65)*B66</f>
        <v>4.7259223766171532</v>
      </c>
      <c r="C67" s="69">
        <v>4.0460000000000003</v>
      </c>
      <c r="D67" s="69">
        <v>2.6777000000000002</v>
      </c>
      <c r="E67" s="69">
        <v>3.5733000000000001</v>
      </c>
      <c r="F67" s="42"/>
      <c r="G67" s="42"/>
      <c r="H67" s="42"/>
      <c r="I67" s="42"/>
    </row>
    <row r="68" spans="1:11" ht="18.75" x14ac:dyDescent="0.3">
      <c r="A68" s="68" t="s">
        <v>141</v>
      </c>
      <c r="B68" s="69">
        <f>B40/B56</f>
        <v>0.10002557264457677</v>
      </c>
      <c r="C68" s="69">
        <v>0.1</v>
      </c>
      <c r="D68" s="69">
        <v>0.1</v>
      </c>
      <c r="E68" s="69">
        <v>0.1</v>
      </c>
      <c r="F68" s="42"/>
      <c r="G68" s="42"/>
      <c r="H68" s="42"/>
      <c r="I68" s="42"/>
    </row>
    <row r="69" spans="1:11" ht="18.75" x14ac:dyDescent="0.3">
      <c r="A69" s="68" t="s">
        <v>142</v>
      </c>
      <c r="B69" s="69">
        <f>(B30-B50)/B6</f>
        <v>7.4218050419813959E-3</v>
      </c>
      <c r="C69" s="69">
        <v>-4.4999999999999997E-3</v>
      </c>
      <c r="D69" s="69">
        <v>-1.43E-2</v>
      </c>
      <c r="E69" s="69">
        <v>-1E-4</v>
      </c>
      <c r="F69" s="42"/>
      <c r="G69" s="42"/>
      <c r="H69" s="42"/>
      <c r="I69" s="42"/>
    </row>
    <row r="70" spans="1:11" ht="18.75" x14ac:dyDescent="0.3">
      <c r="A70" s="74" t="s">
        <v>143</v>
      </c>
      <c r="B70" s="75">
        <f>B30/B50</f>
        <v>1.057195047696367</v>
      </c>
      <c r="C70" s="75">
        <v>1</v>
      </c>
      <c r="D70" s="75">
        <v>0.9</v>
      </c>
      <c r="E70" s="75">
        <v>1</v>
      </c>
      <c r="F70" s="42"/>
      <c r="G70" s="42"/>
      <c r="H70" s="42"/>
      <c r="I70" s="42"/>
    </row>
    <row r="71" spans="1:11" ht="18.75" x14ac:dyDescent="0.3">
      <c r="A71" s="74" t="s">
        <v>144</v>
      </c>
      <c r="B71" s="76">
        <f>(B30-B31)/B50</f>
        <v>0.43064745281104122</v>
      </c>
      <c r="C71" s="75">
        <v>0.3</v>
      </c>
      <c r="D71" s="75">
        <v>0.3</v>
      </c>
      <c r="E71" s="75">
        <v>0.4</v>
      </c>
      <c r="F71" s="42"/>
      <c r="G71" s="42"/>
      <c r="H71" s="42"/>
      <c r="I71" s="42"/>
    </row>
    <row r="72" spans="1:11" ht="18.75" x14ac:dyDescent="0.3">
      <c r="A72" s="71"/>
      <c r="B72" s="72"/>
      <c r="C72" s="73"/>
      <c r="D72" s="73"/>
      <c r="E72" s="73"/>
      <c r="F72" s="42"/>
      <c r="G72" s="42"/>
      <c r="H72" s="42"/>
      <c r="I72" s="42"/>
    </row>
    <row r="73" spans="1:11" ht="21" x14ac:dyDescent="0.35">
      <c r="A73" s="77" t="s">
        <v>168</v>
      </c>
      <c r="B73" s="78"/>
      <c r="C73" s="79"/>
      <c r="D73" s="79"/>
      <c r="E73" s="79"/>
      <c r="F73" s="80"/>
      <c r="G73" s="80"/>
      <c r="H73" s="80"/>
      <c r="I73" s="80"/>
      <c r="J73" s="80"/>
      <c r="K73" s="80"/>
    </row>
    <row r="74" spans="1:11" ht="21" x14ac:dyDescent="0.35">
      <c r="A74" s="77" t="s">
        <v>145</v>
      </c>
      <c r="B74" s="78"/>
      <c r="C74" s="81" t="s">
        <v>146</v>
      </c>
      <c r="D74" s="81" t="s">
        <v>147</v>
      </c>
      <c r="E74" s="79"/>
      <c r="F74" s="80"/>
      <c r="G74" s="80"/>
      <c r="H74" s="80"/>
      <c r="I74" s="80"/>
      <c r="J74" s="80"/>
      <c r="K74" s="80"/>
    </row>
    <row r="75" spans="1:11" ht="18.75" x14ac:dyDescent="0.3">
      <c r="A75" s="79" t="s">
        <v>148</v>
      </c>
      <c r="B75" s="82"/>
      <c r="C75" s="81"/>
      <c r="D75" s="81"/>
      <c r="E75" s="79"/>
      <c r="F75" s="80"/>
      <c r="G75" s="80"/>
      <c r="H75" s="80"/>
      <c r="I75" s="80"/>
      <c r="J75" s="80"/>
      <c r="K75" s="80"/>
    </row>
    <row r="76" spans="1:11" ht="18.75" x14ac:dyDescent="0.3">
      <c r="A76" s="79" t="s">
        <v>149</v>
      </c>
      <c r="B76" s="82"/>
      <c r="C76" s="81"/>
      <c r="D76" s="81"/>
      <c r="E76" s="79"/>
      <c r="F76" s="80"/>
      <c r="G76" s="80"/>
      <c r="H76" s="80"/>
      <c r="I76" s="80"/>
      <c r="J76" s="80"/>
      <c r="K76" s="80"/>
    </row>
    <row r="77" spans="1:11" ht="18.75" x14ac:dyDescent="0.3">
      <c r="A77" s="79" t="s">
        <v>150</v>
      </c>
      <c r="B77" s="82"/>
      <c r="C77" s="81"/>
      <c r="D77" s="81"/>
      <c r="E77" s="79"/>
      <c r="F77" s="80"/>
      <c r="G77" s="80"/>
      <c r="H77" s="80"/>
      <c r="I77" s="80"/>
      <c r="J77" s="80"/>
      <c r="K77" s="80"/>
    </row>
    <row r="78" spans="1:11" ht="18.75" x14ac:dyDescent="0.3">
      <c r="A78" s="79" t="s">
        <v>151</v>
      </c>
      <c r="B78" s="82" t="s">
        <v>152</v>
      </c>
      <c r="C78" s="81" t="s">
        <v>152</v>
      </c>
      <c r="D78" s="81"/>
      <c r="E78" s="79"/>
      <c r="F78" s="80"/>
      <c r="G78" s="80"/>
      <c r="H78" s="80"/>
      <c r="I78" s="80"/>
      <c r="J78" s="80"/>
      <c r="K78" s="80"/>
    </row>
    <row r="79" spans="1:11" ht="18.75" x14ac:dyDescent="0.3">
      <c r="A79" s="79" t="s">
        <v>153</v>
      </c>
      <c r="B79" s="82" t="s">
        <v>152</v>
      </c>
      <c r="C79" s="81" t="s">
        <v>152</v>
      </c>
      <c r="D79" s="81"/>
      <c r="E79" s="79"/>
      <c r="F79" s="80"/>
      <c r="G79" s="80"/>
      <c r="H79" s="80"/>
      <c r="I79" s="80"/>
      <c r="J79" s="80"/>
      <c r="K79" s="80"/>
    </row>
    <row r="80" spans="1:11" ht="18.75" x14ac:dyDescent="0.3">
      <c r="A80" s="79" t="s">
        <v>154</v>
      </c>
      <c r="B80" s="82"/>
      <c r="C80" s="81"/>
      <c r="D80" s="81"/>
      <c r="E80" s="79"/>
      <c r="F80" s="80"/>
      <c r="G80" s="80"/>
      <c r="H80" s="80"/>
      <c r="I80" s="80"/>
      <c r="J80" s="80"/>
      <c r="K80" s="80"/>
    </row>
    <row r="81" spans="1:11" ht="18.75" x14ac:dyDescent="0.3">
      <c r="A81" s="79" t="s">
        <v>155</v>
      </c>
      <c r="B81" s="82"/>
      <c r="C81" s="81"/>
      <c r="D81" s="81"/>
      <c r="E81" s="79"/>
      <c r="F81" s="80"/>
      <c r="G81" s="80"/>
      <c r="H81" s="80"/>
      <c r="I81" s="80"/>
      <c r="J81" s="80"/>
      <c r="K81" s="80"/>
    </row>
    <row r="82" spans="1:11" ht="18.75" x14ac:dyDescent="0.3">
      <c r="A82" s="79"/>
      <c r="B82" s="78"/>
      <c r="C82" s="79"/>
      <c r="D82" s="79"/>
      <c r="E82" s="79"/>
      <c r="F82" s="80"/>
      <c r="G82" s="80"/>
      <c r="H82" s="80"/>
      <c r="I82" s="80"/>
      <c r="J82" s="80"/>
      <c r="K82" s="80"/>
    </row>
    <row r="83" spans="1:11" ht="21" x14ac:dyDescent="0.35">
      <c r="A83" s="77" t="s">
        <v>169</v>
      </c>
      <c r="B83" s="78"/>
      <c r="C83" s="79"/>
      <c r="D83" s="79"/>
      <c r="E83" s="79"/>
      <c r="F83" s="80"/>
      <c r="G83" s="80"/>
      <c r="H83" s="80"/>
      <c r="I83" s="80"/>
      <c r="J83" s="80"/>
      <c r="K83" s="80"/>
    </row>
    <row r="84" spans="1:11" ht="18.75" x14ac:dyDescent="0.3">
      <c r="A84" s="79" t="s">
        <v>156</v>
      </c>
      <c r="B84" s="81" t="s">
        <v>157</v>
      </c>
      <c r="C84" s="79"/>
      <c r="D84" s="79"/>
      <c r="E84" s="79"/>
      <c r="F84" s="80"/>
      <c r="G84" s="80"/>
      <c r="H84" s="80"/>
      <c r="I84" s="80"/>
      <c r="J84" s="80"/>
      <c r="K84" s="80"/>
    </row>
    <row r="85" spans="1:11" ht="18.75" x14ac:dyDescent="0.3">
      <c r="A85" s="79" t="s">
        <v>158</v>
      </c>
      <c r="B85" s="81"/>
      <c r="C85" s="79"/>
      <c r="D85" s="79"/>
      <c r="E85" s="79"/>
      <c r="F85" s="80"/>
      <c r="G85" s="80"/>
      <c r="H85" s="80"/>
      <c r="I85" s="80"/>
      <c r="J85" s="80"/>
      <c r="K85" s="80"/>
    </row>
    <row r="86" spans="1:11" ht="18.75" x14ac:dyDescent="0.3">
      <c r="A86" s="79" t="s">
        <v>159</v>
      </c>
      <c r="B86" s="81"/>
      <c r="C86" s="79"/>
      <c r="D86" s="79"/>
      <c r="E86" s="79"/>
      <c r="F86" s="80"/>
      <c r="G86" s="80"/>
      <c r="H86" s="80"/>
      <c r="I86" s="80"/>
      <c r="J86" s="80"/>
      <c r="K86" s="80"/>
    </row>
    <row r="87" spans="1:11" ht="18.75" x14ac:dyDescent="0.3">
      <c r="A87" s="79"/>
      <c r="B87" s="78"/>
      <c r="C87" s="79"/>
      <c r="D87" s="79"/>
      <c r="E87" s="79"/>
      <c r="F87" s="80"/>
      <c r="G87" s="80"/>
      <c r="H87" s="80"/>
      <c r="I87" s="80"/>
      <c r="J87" s="80"/>
      <c r="K87" s="80"/>
    </row>
    <row r="88" spans="1:11" ht="21" x14ac:dyDescent="0.35">
      <c r="A88" s="77" t="s">
        <v>274</v>
      </c>
      <c r="B88" s="78"/>
      <c r="C88" s="79"/>
      <c r="D88" s="79"/>
      <c r="E88" s="79"/>
      <c r="F88" s="80"/>
      <c r="G88" s="80"/>
      <c r="H88" s="80"/>
      <c r="I88" s="80"/>
      <c r="J88" s="80"/>
      <c r="K88" s="80"/>
    </row>
    <row r="89" spans="1:11" ht="18.75" x14ac:dyDescent="0.3">
      <c r="A89" s="79" t="s">
        <v>156</v>
      </c>
      <c r="B89" s="81"/>
      <c r="C89" s="79"/>
      <c r="D89" s="79"/>
      <c r="E89" s="79"/>
      <c r="F89" s="80"/>
      <c r="G89" s="80"/>
      <c r="H89" s="80"/>
      <c r="I89" s="80"/>
      <c r="J89" s="80"/>
      <c r="K89" s="80"/>
    </row>
    <row r="90" spans="1:11" ht="18.75" x14ac:dyDescent="0.3">
      <c r="A90" s="79" t="s">
        <v>158</v>
      </c>
      <c r="B90" s="81" t="s">
        <v>157</v>
      </c>
      <c r="C90" s="79"/>
      <c r="D90" s="79"/>
      <c r="E90" s="79"/>
      <c r="F90" s="80"/>
      <c r="G90" s="80"/>
      <c r="H90" s="80"/>
      <c r="I90" s="80"/>
      <c r="J90" s="80"/>
      <c r="K90" s="80"/>
    </row>
    <row r="91" spans="1:11" ht="18.75" x14ac:dyDescent="0.3">
      <c r="A91" s="79" t="s">
        <v>159</v>
      </c>
      <c r="B91" s="81"/>
      <c r="C91" s="79"/>
      <c r="D91" s="79"/>
      <c r="E91" s="79"/>
      <c r="F91" s="80"/>
      <c r="G91" s="80"/>
      <c r="H91" s="80"/>
      <c r="I91" s="80"/>
      <c r="J91" s="80"/>
      <c r="K91" s="80"/>
    </row>
    <row r="92" spans="1:11" ht="18.75" x14ac:dyDescent="0.3">
      <c r="A92" s="79"/>
      <c r="B92" s="78"/>
      <c r="C92" s="79"/>
      <c r="D92" s="79"/>
      <c r="E92" s="79"/>
      <c r="F92" s="80"/>
      <c r="G92" s="80"/>
      <c r="H92" s="80"/>
      <c r="I92" s="80"/>
      <c r="J92" s="80"/>
      <c r="K92" s="80"/>
    </row>
    <row r="93" spans="1:11" ht="21" x14ac:dyDescent="0.35">
      <c r="A93" s="77" t="s">
        <v>275</v>
      </c>
      <c r="B93" s="78"/>
      <c r="C93" s="79"/>
      <c r="D93" s="79"/>
      <c r="E93" s="79"/>
      <c r="F93" s="80"/>
      <c r="G93" s="80"/>
      <c r="H93" s="80"/>
      <c r="I93" s="80"/>
      <c r="J93" s="80"/>
      <c r="K93" s="80"/>
    </row>
    <row r="94" spans="1:11" ht="18.75" x14ac:dyDescent="0.3">
      <c r="A94" s="79" t="s">
        <v>160</v>
      </c>
      <c r="B94" s="81"/>
      <c r="C94" s="79"/>
      <c r="D94" s="79"/>
      <c r="E94" s="79"/>
      <c r="F94" s="80"/>
      <c r="G94" s="80"/>
      <c r="H94" s="80"/>
      <c r="I94" s="80"/>
      <c r="J94" s="80"/>
      <c r="K94" s="80"/>
    </row>
    <row r="95" spans="1:11" ht="18.75" x14ac:dyDescent="0.3">
      <c r="A95" s="79" t="s">
        <v>161</v>
      </c>
      <c r="B95" s="81" t="s">
        <v>157</v>
      </c>
      <c r="C95" s="79"/>
      <c r="D95" s="79"/>
      <c r="E95" s="79"/>
      <c r="F95" s="80"/>
      <c r="G95" s="80"/>
      <c r="H95" s="80"/>
      <c r="I95" s="80"/>
      <c r="J95" s="80"/>
      <c r="K95" s="80"/>
    </row>
    <row r="96" spans="1:11" ht="18.75" x14ac:dyDescent="0.3">
      <c r="A96" s="79" t="s">
        <v>162</v>
      </c>
      <c r="B96" s="81" t="s">
        <v>157</v>
      </c>
      <c r="C96" s="79"/>
      <c r="D96" s="79"/>
      <c r="E96" s="79"/>
      <c r="F96" s="80"/>
      <c r="G96" s="80"/>
      <c r="H96" s="80"/>
      <c r="I96" s="80"/>
      <c r="J96" s="80"/>
      <c r="K96" s="80"/>
    </row>
    <row r="97" spans="1:11" ht="18.75" x14ac:dyDescent="0.3">
      <c r="A97" s="79" t="s">
        <v>163</v>
      </c>
      <c r="B97" s="81"/>
      <c r="C97" s="79"/>
      <c r="D97" s="79"/>
      <c r="E97" s="79"/>
      <c r="F97" s="80"/>
      <c r="G97" s="80"/>
      <c r="H97" s="80"/>
      <c r="I97" s="80"/>
      <c r="J97" s="80"/>
      <c r="K97" s="80"/>
    </row>
    <row r="98" spans="1:11" ht="18.75" x14ac:dyDescent="0.3">
      <c r="A98" s="79" t="s">
        <v>164</v>
      </c>
      <c r="B98" s="81"/>
      <c r="C98" s="79"/>
      <c r="D98" s="79"/>
      <c r="E98" s="79"/>
      <c r="F98" s="80"/>
      <c r="G98" s="80"/>
      <c r="H98" s="80"/>
      <c r="I98" s="80"/>
      <c r="J98" s="80"/>
      <c r="K98" s="80"/>
    </row>
    <row r="99" spans="1:11" ht="18.75" x14ac:dyDescent="0.3">
      <c r="A99" s="79" t="s">
        <v>165</v>
      </c>
      <c r="B99" s="83"/>
      <c r="C99" s="80"/>
      <c r="D99" s="80"/>
      <c r="E99" s="80"/>
      <c r="F99" s="80"/>
      <c r="G99" s="80"/>
      <c r="H99" s="80"/>
      <c r="I99" s="80"/>
      <c r="J99" s="80"/>
      <c r="K99" s="80"/>
    </row>
    <row r="100" spans="1:11" x14ac:dyDescent="0.2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</row>
    <row r="101" spans="1:11" ht="21" x14ac:dyDescent="0.35">
      <c r="A101" s="77" t="s">
        <v>276</v>
      </c>
      <c r="B101" s="88">
        <f>B7-B9</f>
        <v>38229</v>
      </c>
      <c r="C101" s="79"/>
      <c r="D101" s="79"/>
      <c r="E101" s="79"/>
      <c r="F101" s="80"/>
      <c r="G101" s="80"/>
      <c r="H101" s="80"/>
      <c r="I101" s="80"/>
      <c r="J101" s="80"/>
      <c r="K101" s="80"/>
    </row>
    <row r="102" spans="1:11" ht="18.75" x14ac:dyDescent="0.3">
      <c r="A102" s="79" t="s">
        <v>166</v>
      </c>
      <c r="B102" s="84">
        <f>B101/B9</f>
        <v>0.25239827548642241</v>
      </c>
      <c r="C102" s="79"/>
      <c r="D102" s="79"/>
      <c r="E102" s="79"/>
      <c r="F102" s="80"/>
      <c r="G102" s="80"/>
      <c r="H102" s="80"/>
      <c r="I102" s="80"/>
      <c r="J102" s="80"/>
      <c r="K102" s="80"/>
    </row>
    <row r="103" spans="1:11" ht="18.75" x14ac:dyDescent="0.3">
      <c r="A103" s="79"/>
      <c r="B103" s="86"/>
      <c r="C103" s="79"/>
      <c r="D103" s="79"/>
      <c r="E103" s="79"/>
      <c r="F103" s="80"/>
      <c r="G103" s="80"/>
      <c r="H103" s="80"/>
      <c r="I103" s="80"/>
      <c r="J103" s="80"/>
      <c r="K103" s="80"/>
    </row>
    <row r="104" spans="1:11" ht="18.75" x14ac:dyDescent="0.3">
      <c r="A104" s="85"/>
      <c r="B104" s="78"/>
      <c r="C104" s="79"/>
      <c r="D104" s="86"/>
      <c r="E104" s="79"/>
      <c r="F104" s="86"/>
      <c r="G104" s="79"/>
      <c r="H104" s="80"/>
      <c r="I104" s="80"/>
      <c r="J104" s="80"/>
      <c r="K104" s="80"/>
    </row>
    <row r="105" spans="1:11" ht="18.75" x14ac:dyDescent="0.3">
      <c r="A105" s="85"/>
      <c r="B105" s="78"/>
      <c r="C105" s="79"/>
      <c r="D105" s="86"/>
      <c r="E105" s="79"/>
      <c r="F105" s="86"/>
      <c r="G105" s="79"/>
      <c r="H105" s="87"/>
      <c r="I105" s="80"/>
      <c r="J105" s="80"/>
      <c r="K105" s="80"/>
    </row>
    <row r="106" spans="1:11" ht="18.75" x14ac:dyDescent="0.3">
      <c r="A106" s="85"/>
      <c r="B106" s="78"/>
      <c r="C106" s="79"/>
      <c r="D106" s="79"/>
      <c r="E106" s="79"/>
      <c r="F106" s="79"/>
      <c r="G106" s="79"/>
      <c r="H106" s="80"/>
      <c r="I106" s="80"/>
      <c r="J106" s="80"/>
      <c r="K106" s="80"/>
    </row>
    <row r="107" spans="1:11" ht="18.75" x14ac:dyDescent="0.3">
      <c r="A107" s="61"/>
      <c r="B107" s="60"/>
      <c r="C107" s="59"/>
      <c r="D107" s="62"/>
      <c r="E107" s="59"/>
      <c r="F107" s="63"/>
      <c r="G107" s="64"/>
      <c r="H107" s="42"/>
      <c r="I107" s="42"/>
    </row>
    <row r="108" spans="1:11" ht="18.75" x14ac:dyDescent="0.3">
      <c r="A108" s="65"/>
      <c r="B108" s="64"/>
      <c r="C108" s="64"/>
      <c r="D108" s="64"/>
      <c r="E108" s="64"/>
      <c r="F108" s="64"/>
      <c r="G108" s="64"/>
      <c r="H108" s="42"/>
      <c r="I108" s="42"/>
    </row>
    <row r="109" spans="1:11" x14ac:dyDescent="0.25">
      <c r="A109" s="42"/>
      <c r="B109" s="42"/>
      <c r="C109" s="42"/>
      <c r="D109" s="42"/>
      <c r="E109" s="42"/>
      <c r="F109" s="42"/>
      <c r="G109" s="42"/>
      <c r="H109" s="42"/>
      <c r="I109" s="4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2"/>
  <sheetViews>
    <sheetView workbookViewId="0">
      <selection activeCell="A17" sqref="A17"/>
    </sheetView>
  </sheetViews>
  <sheetFormatPr baseColWidth="10" defaultRowHeight="15" x14ac:dyDescent="0.25"/>
  <cols>
    <col min="1" max="1" width="43.28515625" customWidth="1"/>
  </cols>
  <sheetData>
    <row r="1" spans="1:5" x14ac:dyDescent="0.25">
      <c r="A1" s="6" t="s">
        <v>0</v>
      </c>
    </row>
    <row r="2" spans="1:5" x14ac:dyDescent="0.25">
      <c r="A2" s="17"/>
      <c r="B2" s="6" t="s">
        <v>11</v>
      </c>
      <c r="C2" s="6" t="s">
        <v>12</v>
      </c>
      <c r="D2" s="6" t="s">
        <v>13</v>
      </c>
      <c r="E2" s="6" t="s">
        <v>14</v>
      </c>
    </row>
    <row r="3" spans="1:5" x14ac:dyDescent="0.25">
      <c r="A3" s="18">
        <v>42737</v>
      </c>
      <c r="B3" s="1">
        <v>25000000</v>
      </c>
      <c r="C3" s="1">
        <f>B3*70/100</f>
        <v>17500000</v>
      </c>
      <c r="D3" s="1">
        <f>B3*30/100</f>
        <v>7500000</v>
      </c>
      <c r="E3" s="1"/>
    </row>
    <row r="4" spans="1:5" x14ac:dyDescent="0.25">
      <c r="A4" s="18">
        <v>43100</v>
      </c>
      <c r="B4" s="1">
        <f>C4+D4</f>
        <v>-725000</v>
      </c>
      <c r="C4" s="1">
        <f>-$C$3/50</f>
        <v>-350000</v>
      </c>
      <c r="D4" s="1">
        <f>-$D$3/20</f>
        <v>-375000</v>
      </c>
      <c r="E4" s="1"/>
    </row>
    <row r="5" spans="1:5" x14ac:dyDescent="0.25">
      <c r="A5" s="19">
        <v>43465</v>
      </c>
      <c r="B5" s="1">
        <f t="shared" ref="B5:B6" si="0">C5+D5</f>
        <v>-725000</v>
      </c>
      <c r="C5" s="1">
        <f t="shared" ref="C5:C6" si="1">-$C$3/50</f>
        <v>-350000</v>
      </c>
      <c r="D5" s="1">
        <f t="shared" ref="D5:D6" si="2">-$D$3/20</f>
        <v>-375000</v>
      </c>
      <c r="E5" s="1"/>
    </row>
    <row r="6" spans="1:5" x14ac:dyDescent="0.25">
      <c r="A6" s="18">
        <v>43830</v>
      </c>
      <c r="B6" s="12">
        <f t="shared" si="0"/>
        <v>-725000</v>
      </c>
      <c r="C6" s="12">
        <f t="shared" si="1"/>
        <v>-350000</v>
      </c>
      <c r="D6" s="12">
        <f t="shared" si="2"/>
        <v>-375000</v>
      </c>
      <c r="E6" s="12">
        <f>B6</f>
        <v>-725000</v>
      </c>
    </row>
    <row r="7" spans="1:5" x14ac:dyDescent="0.25">
      <c r="A7" t="s">
        <v>15</v>
      </c>
      <c r="B7" s="11">
        <f>SUM(B3:B6)</f>
        <v>22825000</v>
      </c>
      <c r="C7" s="11">
        <f>SUM(C3:C6)</f>
        <v>16450000</v>
      </c>
      <c r="D7" s="11">
        <f>SUM(D3:D6)</f>
        <v>6375000</v>
      </c>
      <c r="E7" s="11"/>
    </row>
    <row r="8" spans="1:5" x14ac:dyDescent="0.25">
      <c r="A8" t="s">
        <v>16</v>
      </c>
      <c r="B8" s="15">
        <v>-4000000</v>
      </c>
      <c r="C8" s="15">
        <f>B8*70/100</f>
        <v>-2800000</v>
      </c>
      <c r="D8" s="15">
        <f>B8*30/100</f>
        <v>-1200000</v>
      </c>
      <c r="E8" s="15">
        <f>B8</f>
        <v>-4000000</v>
      </c>
    </row>
    <row r="9" spans="1:5" x14ac:dyDescent="0.25">
      <c r="A9" t="s">
        <v>17</v>
      </c>
      <c r="B9" s="1"/>
      <c r="C9" s="1"/>
      <c r="D9" s="1"/>
      <c r="E9" s="1"/>
    </row>
    <row r="10" spans="1:5" x14ac:dyDescent="0.25">
      <c r="A10" t="s">
        <v>18</v>
      </c>
      <c r="B10" s="1">
        <f>SUM(B7:B9)</f>
        <v>18825000</v>
      </c>
      <c r="C10" s="1">
        <f t="shared" ref="C10:D10" si="3">SUM(C7:C9)</f>
        <v>13650000</v>
      </c>
      <c r="D10" s="1">
        <f t="shared" si="3"/>
        <v>5175000</v>
      </c>
      <c r="E10" s="1">
        <f>SUM(E3:E9)</f>
        <v>-4725000</v>
      </c>
    </row>
    <row r="11" spans="1:5" x14ac:dyDescent="0.25">
      <c r="A11" s="20"/>
      <c r="B11" s="1"/>
      <c r="C11" s="1"/>
      <c r="D11" s="1"/>
      <c r="E11" s="1"/>
    </row>
    <row r="12" spans="1:5" x14ac:dyDescent="0.25">
      <c r="A12" s="6" t="s">
        <v>1</v>
      </c>
    </row>
    <row r="13" spans="1:5" x14ac:dyDescent="0.25">
      <c r="A13" t="s">
        <v>19</v>
      </c>
    </row>
    <row r="14" spans="1:5" x14ac:dyDescent="0.25">
      <c r="A14" s="17" t="s">
        <v>20</v>
      </c>
    </row>
    <row r="16" spans="1:5" x14ac:dyDescent="0.25">
      <c r="A16" t="s">
        <v>21</v>
      </c>
    </row>
    <row r="17" spans="1:5" x14ac:dyDescent="0.25">
      <c r="A17" s="17" t="s">
        <v>22</v>
      </c>
    </row>
    <row r="21" spans="1:5" s="6" customFormat="1" x14ac:dyDescent="0.25"/>
    <row r="22" spans="1:5" x14ac:dyDescent="0.25">
      <c r="D22" s="1"/>
      <c r="E22" s="1"/>
    </row>
    <row r="23" spans="1:5" x14ac:dyDescent="0.25">
      <c r="D23" s="1"/>
      <c r="E23" s="1"/>
    </row>
    <row r="24" spans="1:5" x14ac:dyDescent="0.25">
      <c r="D24" s="1"/>
      <c r="E24" s="1"/>
    </row>
    <row r="25" spans="1:5" x14ac:dyDescent="0.25">
      <c r="D25" s="1"/>
      <c r="E25" s="1"/>
    </row>
    <row r="26" spans="1:5" x14ac:dyDescent="0.25">
      <c r="D26" s="1"/>
      <c r="E26" s="1"/>
    </row>
    <row r="27" spans="1:5" x14ac:dyDescent="0.25">
      <c r="D27" s="1"/>
      <c r="E27" s="1"/>
    </row>
    <row r="28" spans="1:5" x14ac:dyDescent="0.25">
      <c r="D28" s="1"/>
      <c r="E28" s="1"/>
    </row>
    <row r="29" spans="1:5" x14ac:dyDescent="0.25">
      <c r="D29" s="1"/>
      <c r="E29" s="1"/>
    </row>
    <row r="30" spans="1:5" x14ac:dyDescent="0.25">
      <c r="D30" s="1"/>
      <c r="E30" s="1"/>
    </row>
    <row r="31" spans="1:5" x14ac:dyDescent="0.25">
      <c r="D31" s="1"/>
      <c r="E31" s="1"/>
    </row>
    <row r="32" spans="1:5" x14ac:dyDescent="0.25">
      <c r="D32" s="1"/>
      <c r="E32" s="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Oppgave 1</vt:lpstr>
      <vt:lpstr>Oppgave 2</vt:lpstr>
      <vt:lpstr>Oppgave 3</vt:lpstr>
      <vt:lpstr>Oppgave 4</vt:lpstr>
      <vt:lpstr>Oppgave 5</vt:lpstr>
      <vt:lpstr>Oppgave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AOP</dc:creator>
  <cp:lastModifiedBy>Raul Boris Farina Briceno</cp:lastModifiedBy>
  <dcterms:created xsi:type="dcterms:W3CDTF">2022-04-07T17:21:23Z</dcterms:created>
  <dcterms:modified xsi:type="dcterms:W3CDTF">2022-08-11T12:37:16Z</dcterms:modified>
</cp:coreProperties>
</file>