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HØST 2021\ØIS\"/>
    </mc:Choice>
  </mc:AlternateContent>
  <xr:revisionPtr revIDLastSave="0" documentId="8_{ED11C828-658C-4677-AC1C-5E43198056D3}" xr6:coauthVersionLast="36" xr6:coauthVersionMax="36" xr10:uidLastSave="{00000000-0000-0000-0000-000000000000}"/>
  <bookViews>
    <workbookView xWindow="0" yWindow="0" windowWidth="28800" windowHeight="14025" firstSheet="6" activeTab="11" xr2:uid="{00000000-000D-0000-FFFF-FFFF00000000}"/>
  </bookViews>
  <sheets>
    <sheet name="Oppgave 1" sheetId="15" r:id="rId1"/>
    <sheet name="Løsning oppgave 1" sheetId="7" r:id="rId2"/>
    <sheet name="Oppgave 2" sheetId="2" r:id="rId3"/>
    <sheet name="Løsning oppgave 2" sheetId="8" r:id="rId4"/>
    <sheet name="Oppgave 3" sheetId="9" r:id="rId5"/>
    <sheet name="Løsning oppgave 3" sheetId="10" r:id="rId6"/>
    <sheet name="Oppgave 4" sheetId="3" r:id="rId7"/>
    <sheet name="Løsning oppgave 4" sheetId="11" r:id="rId8"/>
    <sheet name="Oppgave 5" sheetId="4" r:id="rId9"/>
    <sheet name="Løsning oppgave 5" sheetId="12" r:id="rId10"/>
    <sheet name="Oppgave 6" sheetId="5" r:id="rId11"/>
    <sheet name="Løsning oppgave 6" sheetId="13" r:id="rId12"/>
    <sheet name="Oppgave 7" sheetId="6" r:id="rId13"/>
    <sheet name="Løsning oppgave 7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D9" i="11" l="1"/>
  <c r="D4" i="3"/>
  <c r="D2" i="11" s="1"/>
  <c r="D4" i="11" s="1"/>
  <c r="D6" i="11" s="1"/>
  <c r="C15" i="6"/>
  <c r="B15" i="6"/>
  <c r="C8" i="6"/>
  <c r="B8" i="6"/>
  <c r="F4" i="14"/>
  <c r="E4" i="14"/>
  <c r="C24" i="14"/>
  <c r="B24" i="14"/>
  <c r="G23" i="14"/>
  <c r="F21" i="14"/>
  <c r="E21" i="14"/>
  <c r="E20" i="14"/>
  <c r="G20" i="14" s="1"/>
  <c r="C17" i="14"/>
  <c r="B17" i="14"/>
  <c r="G16" i="14"/>
  <c r="G15" i="14"/>
  <c r="F14" i="14"/>
  <c r="E13" i="14"/>
  <c r="G13" i="14" s="1"/>
  <c r="D3" i="14"/>
  <c r="D5" i="14" s="1"/>
  <c r="E5" i="10"/>
  <c r="E4" i="10"/>
  <c r="E6" i="10" s="1"/>
  <c r="E10" i="10" s="1"/>
  <c r="D6" i="10"/>
  <c r="D4" i="9"/>
  <c r="F3" i="14" l="1"/>
  <c r="F5" i="14" s="1"/>
  <c r="F22" i="14" s="1"/>
  <c r="G21" i="14"/>
  <c r="E3" i="14"/>
  <c r="E5" i="14" s="1"/>
  <c r="E7" i="14" s="1"/>
  <c r="E12" i="14" s="1"/>
  <c r="G14" i="14"/>
  <c r="G22" i="14" l="1"/>
  <c r="G24" i="14" s="1"/>
  <c r="F24" i="14"/>
  <c r="E24" i="14"/>
  <c r="G12" i="14"/>
  <c r="G17" i="14" s="1"/>
  <c r="B9" i="12" l="1"/>
  <c r="D9" i="12" s="1"/>
  <c r="D11" i="12" s="1"/>
  <c r="D13" i="12" s="1"/>
  <c r="D5" i="12"/>
  <c r="D4" i="12"/>
  <c r="D3" i="12"/>
  <c r="D6" i="12" s="1"/>
  <c r="D5" i="4"/>
  <c r="D4" i="4"/>
  <c r="D3" i="4"/>
  <c r="D2" i="4"/>
  <c r="D38" i="8"/>
  <c r="D31" i="8"/>
  <c r="D32" i="8" s="1"/>
  <c r="C4" i="8"/>
  <c r="D4" i="8" s="1"/>
  <c r="B5" i="2"/>
  <c r="D37" i="8" s="1"/>
  <c r="E4" i="8" l="1"/>
  <c r="B5" i="8" s="1"/>
  <c r="E5" i="8" s="1"/>
  <c r="D5" i="8"/>
  <c r="D7" i="8" l="1"/>
  <c r="D15" i="8"/>
  <c r="D23" i="8"/>
  <c r="D10" i="8"/>
  <c r="D18" i="8"/>
  <c r="D12" i="8"/>
  <c r="D8" i="8"/>
  <c r="D16" i="8"/>
  <c r="D6" i="8"/>
  <c r="B6" i="8" s="1"/>
  <c r="E6" i="8" s="1"/>
  <c r="B7" i="8" s="1"/>
  <c r="E7" i="8" s="1"/>
  <c r="B8" i="8" s="1"/>
  <c r="E8" i="8" s="1"/>
  <c r="B9" i="8" s="1"/>
  <c r="E9" i="8" s="1"/>
  <c r="B10" i="8" s="1"/>
  <c r="E10" i="8" s="1"/>
  <c r="B11" i="8" s="1"/>
  <c r="E11" i="8" s="1"/>
  <c r="B12" i="8" s="1"/>
  <c r="E12" i="8" s="1"/>
  <c r="B13" i="8" s="1"/>
  <c r="E13" i="8" s="1"/>
  <c r="B14" i="8" s="1"/>
  <c r="E14" i="8" s="1"/>
  <c r="B15" i="8" s="1"/>
  <c r="E15" i="8" s="1"/>
  <c r="B16" i="8" s="1"/>
  <c r="E16" i="8" s="1"/>
  <c r="B17" i="8" s="1"/>
  <c r="E17" i="8" s="1"/>
  <c r="B18" i="8" s="1"/>
  <c r="E18" i="8" s="1"/>
  <c r="B19" i="8" s="1"/>
  <c r="E19" i="8" s="1"/>
  <c r="B20" i="8" s="1"/>
  <c r="E20" i="8" s="1"/>
  <c r="B21" i="8" s="1"/>
  <c r="E21" i="8" s="1"/>
  <c r="B22" i="8" s="1"/>
  <c r="E22" i="8" s="1"/>
  <c r="B23" i="8" s="1"/>
  <c r="E23" i="8" s="1"/>
  <c r="D11" i="8"/>
  <c r="D19" i="8"/>
  <c r="D20" i="8"/>
  <c r="D14" i="8"/>
  <c r="D22" i="8"/>
  <c r="D9" i="8"/>
  <c r="D17" i="8"/>
  <c r="D26" i="8"/>
  <c r="D28" i="8" s="1"/>
  <c r="D13" i="8"/>
  <c r="D21" i="8"/>
  <c r="D24" i="8" l="1"/>
  <c r="D34" i="8"/>
  <c r="D39" i="8" s="1"/>
  <c r="D40" i="8" s="1"/>
  <c r="C48" i="13" l="1"/>
  <c r="C50" i="13" s="1"/>
  <c r="B48" i="13"/>
  <c r="B50" i="13" s="1"/>
  <c r="C46" i="13"/>
  <c r="B46" i="13"/>
  <c r="C9" i="5"/>
  <c r="C12" i="5" s="1"/>
  <c r="B9" i="5"/>
  <c r="B12" i="5" s="1"/>
  <c r="B14" i="5" s="1"/>
  <c r="C37" i="5"/>
  <c r="D37" i="5"/>
  <c r="B37" i="5"/>
  <c r="C30" i="5"/>
  <c r="D30" i="5"/>
  <c r="B30" i="5"/>
  <c r="C24" i="5"/>
  <c r="D24" i="5"/>
  <c r="D44" i="13" s="1"/>
  <c r="B24" i="5"/>
  <c r="B44" i="13" s="1"/>
  <c r="C20" i="5"/>
  <c r="D20" i="5"/>
  <c r="B20" i="5"/>
  <c r="C25" i="5" l="1"/>
  <c r="F4" i="13" s="1"/>
  <c r="B42" i="13"/>
  <c r="D42" i="13"/>
  <c r="B25" i="5"/>
  <c r="B38" i="5"/>
  <c r="C42" i="13"/>
  <c r="D38" i="5"/>
  <c r="C44" i="13"/>
  <c r="C38" i="5"/>
  <c r="D25" i="5"/>
  <c r="F8" i="13"/>
  <c r="F30" i="13"/>
  <c r="O49" i="7"/>
  <c r="O47" i="7"/>
  <c r="O48" i="7" s="1"/>
  <c r="O50" i="7" s="1"/>
  <c r="N44" i="7"/>
  <c r="N45" i="7" s="1"/>
  <c r="D29" i="15"/>
  <c r="B29" i="15"/>
  <c r="F25" i="15"/>
  <c r="F12" i="13" l="1"/>
  <c r="F29" i="7"/>
  <c r="N19" i="7" s="1"/>
  <c r="D29" i="7"/>
  <c r="B29" i="7"/>
  <c r="F25" i="7"/>
  <c r="N13" i="7" s="1"/>
  <c r="N21" i="7"/>
  <c r="N16" i="7"/>
  <c r="N15" i="7"/>
  <c r="N14" i="7"/>
  <c r="L38" i="7" l="1"/>
  <c r="N41" i="7"/>
  <c r="N22" i="7"/>
  <c r="N18" i="7" s="1"/>
  <c r="N24" i="7" s="1"/>
  <c r="N17" i="7"/>
  <c r="N23" i="7" s="1"/>
  <c r="L37" i="7"/>
  <c r="L39" i="7" s="1"/>
  <c r="N25" i="7" l="1"/>
</calcChain>
</file>

<file path=xl/sharedStrings.xml><?xml version="1.0" encoding="utf-8"?>
<sst xmlns="http://schemas.openxmlformats.org/spreadsheetml/2006/main" count="367" uniqueCount="238">
  <si>
    <t>Peder Ås</t>
  </si>
  <si>
    <t>Alfakrøll AS</t>
  </si>
  <si>
    <t>Grønlia 1</t>
  </si>
  <si>
    <t>Storgata 2</t>
  </si>
  <si>
    <t>1746 Skjeberg</t>
  </si>
  <si>
    <t>1700 Sarpsborg</t>
  </si>
  <si>
    <t>170908 Peder Ås</t>
  </si>
  <si>
    <t>Fnr.: 13059278568</t>
  </si>
  <si>
    <t>Stillingskode</t>
  </si>
  <si>
    <t>Lønnstrinn</t>
  </si>
  <si>
    <t>Stillingsprosent</t>
  </si>
  <si>
    <t>Tjenestested</t>
  </si>
  <si>
    <t>Bankinnskudd</t>
  </si>
  <si>
    <t>Balanse-</t>
  </si>
  <si>
    <t>posteringer</t>
  </si>
  <si>
    <t>Bankinnskudd skattetrekk</t>
  </si>
  <si>
    <t>Forskuddstrekk (skattetrekk)</t>
  </si>
  <si>
    <t>Tabell</t>
  </si>
  <si>
    <t>%</t>
  </si>
  <si>
    <t>Kontonummer</t>
  </si>
  <si>
    <t>Feriepenger til gode</t>
  </si>
  <si>
    <t>Skyldig arbeidsgiveravgift</t>
  </si>
  <si>
    <t>Art</t>
  </si>
  <si>
    <t>Navn</t>
  </si>
  <si>
    <t>Periode</t>
  </si>
  <si>
    <t>Antall/</t>
  </si>
  <si>
    <t>Sats</t>
  </si>
  <si>
    <t>Beløp</t>
  </si>
  <si>
    <t>Påløpte feriepenger</t>
  </si>
  <si>
    <t>grunnlag</t>
  </si>
  <si>
    <t>Lønn til ansatte</t>
  </si>
  <si>
    <t>Lønnskost-</t>
  </si>
  <si>
    <t>Skattetrekk</t>
  </si>
  <si>
    <t>Feriepenger beregnet</t>
  </si>
  <si>
    <t>nad</t>
  </si>
  <si>
    <t>Arbeidsgiveravgift</t>
  </si>
  <si>
    <t>Arbeidsgiveravgift av påløpte feriepenger</t>
  </si>
  <si>
    <t>Netto beløp</t>
  </si>
  <si>
    <t>Sum</t>
  </si>
  <si>
    <t>Hittil i år</t>
  </si>
  <si>
    <t>Avgiftspliktige</t>
  </si>
  <si>
    <t>Forskuddstrekk</t>
  </si>
  <si>
    <t>Fagforening</t>
  </si>
  <si>
    <t>Opptjente</t>
  </si>
  <si>
    <t>ytelser</t>
  </si>
  <si>
    <t>feriepenger</t>
  </si>
  <si>
    <t>Feriepenger beregnes av brutto lønn (12 % for de som går på tariff, og 10,2 for de som ikke har tariff)</t>
  </si>
  <si>
    <t>Saldo inkasso</t>
  </si>
  <si>
    <t>Saldo påleggstrekk</t>
  </si>
  <si>
    <t>Saldo lån/</t>
  </si>
  <si>
    <t>Overtid antall</t>
  </si>
  <si>
    <t xml:space="preserve">Trekkfrie </t>
  </si>
  <si>
    <t>Arbeidsgiveravgift beregnes av brutto lønn (14,1 % i sone 1 - skyldig AGA)</t>
  </si>
  <si>
    <t>forskudd</t>
  </si>
  <si>
    <t>timer</t>
  </si>
  <si>
    <t>Prosentsatser:</t>
  </si>
  <si>
    <t>Feriepenger</t>
  </si>
  <si>
    <t>AGA</t>
  </si>
  <si>
    <t>AGA lønn</t>
  </si>
  <si>
    <t>AGA feriepenger</t>
  </si>
  <si>
    <t>November 2021</t>
  </si>
  <si>
    <t>Lønningsdato 12.11.2021</t>
  </si>
  <si>
    <t>1215 Elektriker</t>
  </si>
  <si>
    <t>Elektrikeravdelingen</t>
  </si>
  <si>
    <t>0115 Sarpsborg</t>
  </si>
  <si>
    <t>Årslønn 100 % 620 400</t>
  </si>
  <si>
    <t>?</t>
  </si>
  <si>
    <t>Bedriften legger følgende prosentsatser til grunn:</t>
  </si>
  <si>
    <t>Energi AS</t>
  </si>
  <si>
    <t>Arbeidsgiver: 00037458529 Energi AS</t>
  </si>
  <si>
    <t>Lønnsavregning for</t>
  </si>
  <si>
    <t>Lønnsansiennitet</t>
  </si>
  <si>
    <t>Arbeidskommune</t>
  </si>
  <si>
    <t>Bruttolønn</t>
  </si>
  <si>
    <t>Pensjonsinnskudd</t>
  </si>
  <si>
    <t>Påløpt arbeidsgiveravgift av påløpte feriepenger</t>
  </si>
  <si>
    <t>a) Bokføring i regnskapet</t>
  </si>
  <si>
    <t>,</t>
  </si>
  <si>
    <t xml:space="preserve">b) </t>
  </si>
  <si>
    <t>c)</t>
  </si>
  <si>
    <t xml:space="preserve">Arbeidsgiver må da trekke 50 % i skattetrekk. </t>
  </si>
  <si>
    <t>Peder Ås vil da få netto utbetalt</t>
  </si>
  <si>
    <t>Skattetrekk vil da være</t>
  </si>
  <si>
    <t>Digital Handel AS</t>
  </si>
  <si>
    <t>Resultatregnskap</t>
  </si>
  <si>
    <t>Driftsinntekter</t>
  </si>
  <si>
    <t>Vareforbruk</t>
  </si>
  <si>
    <t>Lønnskostnader</t>
  </si>
  <si>
    <t>Avskrivninger</t>
  </si>
  <si>
    <t>Andre driftskostnader</t>
  </si>
  <si>
    <t>Driftsresultat</t>
  </si>
  <si>
    <t>Finansinntekter</t>
  </si>
  <si>
    <t>Finanskostnader</t>
  </si>
  <si>
    <t>Resultat før skatt</t>
  </si>
  <si>
    <t>Skattekostnad</t>
  </si>
  <si>
    <t>Årsresultat</t>
  </si>
  <si>
    <t>Balanse</t>
  </si>
  <si>
    <t>Varige driftsmidler</t>
  </si>
  <si>
    <t>Sum anleggsmidler</t>
  </si>
  <si>
    <t>Varelager</t>
  </si>
  <si>
    <t>Kundefordringer</t>
  </si>
  <si>
    <t>Sum omløpsmidler</t>
  </si>
  <si>
    <t>Sum eiendeler</t>
  </si>
  <si>
    <t>Aksjekapital</t>
  </si>
  <si>
    <t>Overkursfond</t>
  </si>
  <si>
    <t>Annen egenkapital</t>
  </si>
  <si>
    <t>Sum egenkapital</t>
  </si>
  <si>
    <t>Langsiktig gjeld</t>
  </si>
  <si>
    <t>Kassekreditt</t>
  </si>
  <si>
    <t>Leverandørgjeld</t>
  </si>
  <si>
    <t>Betalbar skatt</t>
  </si>
  <si>
    <t>Avsatt aksjeutbytte</t>
  </si>
  <si>
    <t>Annen kortsiktig gjeld</t>
  </si>
  <si>
    <t>Sum kortsiktig gjeld</t>
  </si>
  <si>
    <t>Sum EK og gjeld</t>
  </si>
  <si>
    <t>Bedriften har gitt følgende tilleggsopplysninger til regnskapet:</t>
  </si>
  <si>
    <t>* Finanskostnader består i sin helhet av rentekostnader.</t>
  </si>
  <si>
    <t>* Merverdiavgiftssatsen er på 25 prosent.</t>
  </si>
  <si>
    <t>a)</t>
  </si>
  <si>
    <t>Totalkapitalens rentabilitet:</t>
  </si>
  <si>
    <t>Ordinært resultat før skattekostnad + rentekostnader</t>
  </si>
  <si>
    <t>Gjennomsnittlig totalkapital</t>
  </si>
  <si>
    <t>Resultatgrad:</t>
  </si>
  <si>
    <t>Kapitalens omløpshastighet:</t>
  </si>
  <si>
    <t>b)</t>
  </si>
  <si>
    <t>Resultatgrad x kapitalens omløpshastighet = totalkapitalrentabilitet</t>
  </si>
  <si>
    <t>Pluss om kandidaten nevner DuPont-modellen eller referer til denne grafen</t>
  </si>
  <si>
    <t>Egenkapitalens rentabilitet før skatt:</t>
  </si>
  <si>
    <t>Ordinært resultat før skattekostnad</t>
  </si>
  <si>
    <t>Gjennomsnittlig egenkapital</t>
  </si>
  <si>
    <t>Eieren av aksjer er den siste som får penger dersom bedriften går konkurs,</t>
  </si>
  <si>
    <t>derfor er det også eieren som tar størst risiko. Man bør derfor ha et rimelig</t>
  </si>
  <si>
    <t xml:space="preserve">påslag på avkastningen som kompensasjon for den høye risikoprofilen. </t>
  </si>
  <si>
    <t>30,16 % avkastning på egenkapital før skatt er meget bra (uten at vi vet noe om risikoen i prosjektet)</t>
  </si>
  <si>
    <t>d)</t>
  </si>
  <si>
    <t>Likviditetsgrad 1</t>
  </si>
  <si>
    <t>Likviditetsgrad 2</t>
  </si>
  <si>
    <t>Kredittid til kunder</t>
  </si>
  <si>
    <t>Varekjøp</t>
  </si>
  <si>
    <t>Varekjøp = UB Varer + Forbruk - IB Varer</t>
  </si>
  <si>
    <t>Kredittid hos leverandører</t>
  </si>
  <si>
    <t>e)</t>
  </si>
  <si>
    <t xml:space="preserve">Selskapet har god likviditet. Likviditetsgrad 1 er større enn 2. </t>
  </si>
  <si>
    <t xml:space="preserve">Likviditetsgrad 2 er større enn 1. Kredittid til kunder og hos leverandører er </t>
  </si>
  <si>
    <t>tilnærmet lik. Utviklingen i tallene er meget positive. Her går alt i riktig retning.</t>
  </si>
  <si>
    <t>Drifts-</t>
  </si>
  <si>
    <t>bygning</t>
  </si>
  <si>
    <t>Anskaffelseskost 1.1.</t>
  </si>
  <si>
    <t>Avskrevet per 1.1.</t>
  </si>
  <si>
    <t>Bokført verdi 1.1.</t>
  </si>
  <si>
    <t>Anskaffet i 2020</t>
  </si>
  <si>
    <t>Avskrivning i 2020</t>
  </si>
  <si>
    <t>Avskrivningssats</t>
  </si>
  <si>
    <t>Bokført verdi 31.12.20</t>
  </si>
  <si>
    <t>Avskrivningstablå</t>
  </si>
  <si>
    <t>IB</t>
  </si>
  <si>
    <t>Anskaffelse</t>
  </si>
  <si>
    <t>UB</t>
  </si>
  <si>
    <t>Eller:</t>
  </si>
  <si>
    <t>Årlige avskrivninger</t>
  </si>
  <si>
    <t>Avskrivning 2020</t>
  </si>
  <si>
    <t>Nytt bygg</t>
  </si>
  <si>
    <t>Avskrivninger driftsbygning 2020</t>
  </si>
  <si>
    <t>Bokført verdi 31.12.202</t>
  </si>
  <si>
    <t>Årlig avskrivning nytt bygg</t>
  </si>
  <si>
    <t>Per 1.1.2020 har Bygg AS eid driftsbygningen</t>
  </si>
  <si>
    <t>Gjenstående levetid gammel bygning 1.9.20</t>
  </si>
  <si>
    <t>Bokført verdi gammel bygning 1.1.20</t>
  </si>
  <si>
    <t>Du skal benytte følgende kontoer:</t>
  </si>
  <si>
    <t>Arbeidsgiveravgift beregnes av beregnede feriepenger (14,1 % i sine 1 - påløpt AGA av påløpte feriepenger)</t>
  </si>
  <si>
    <t xml:space="preserve">* Alt salg og varekjøp er foretatt på kreditt. Driftsinntektene består kun av salgsinntekter. </t>
  </si>
  <si>
    <t>En får en mye lavere avkastning i banken og lånegjelden er også betydelig lavere</t>
  </si>
  <si>
    <t>Dato</t>
  </si>
  <si>
    <t>Antall</t>
  </si>
  <si>
    <t>Pris pr. enhet</t>
  </si>
  <si>
    <t>Anskaffelseskost etter FIFO-metoden</t>
  </si>
  <si>
    <t>Antall enehter på lager per 31.12.2020</t>
  </si>
  <si>
    <t>Salgspris per enhet</t>
  </si>
  <si>
    <t>Salgskostnader</t>
  </si>
  <si>
    <t>Virkelig verdi for varelageret per 31.12.2020</t>
  </si>
  <si>
    <t>Varelagerets bokførte verdi blir</t>
  </si>
  <si>
    <t>siden virkelig verdi er lavest - RL § 5-2</t>
  </si>
  <si>
    <t xml:space="preserve">Konkurrenten tilbyr produktene til kundene for kr 870 per </t>
  </si>
  <si>
    <t>enhet eksklusiv merverdiavgift.</t>
  </si>
  <si>
    <t>Valuta</t>
  </si>
  <si>
    <t>Bokført i NOK</t>
  </si>
  <si>
    <t>SEK</t>
  </si>
  <si>
    <t>Euro</t>
  </si>
  <si>
    <t>Kunde</t>
  </si>
  <si>
    <t>Valutakurser 31.12.20</t>
  </si>
  <si>
    <t>Markus Sødermann AB</t>
  </si>
  <si>
    <t>Merck KG</t>
  </si>
  <si>
    <t>Kursendringene vil ha en negativ påvirkning på resultatregnskapet</t>
  </si>
  <si>
    <t>med kr (urealisert kurstap - disagio)</t>
  </si>
  <si>
    <t>Mors andel</t>
  </si>
  <si>
    <t>Datters andel</t>
  </si>
  <si>
    <t>Bokført verdi EK i Datter AS</t>
  </si>
  <si>
    <t>Merverdi AM i Datter AS</t>
  </si>
  <si>
    <t>Identifiserbare verdier i Datter AS</t>
  </si>
  <si>
    <t>Anskaffelseskost aksjer i Datter AS</t>
  </si>
  <si>
    <t>Goodwill</t>
  </si>
  <si>
    <t>Eliminering</t>
  </si>
  <si>
    <t>Konsern</t>
  </si>
  <si>
    <t>Mor AS</t>
  </si>
  <si>
    <t>Datter AS</t>
  </si>
  <si>
    <t>Debet</t>
  </si>
  <si>
    <t>Kredit</t>
  </si>
  <si>
    <t>Andre AM</t>
  </si>
  <si>
    <t>Aksjer i D</t>
  </si>
  <si>
    <t>Kontanter mv.</t>
  </si>
  <si>
    <t>AK</t>
  </si>
  <si>
    <t>Annen EK</t>
  </si>
  <si>
    <t>Minoritetsinteresse</t>
  </si>
  <si>
    <t>Gjeld</t>
  </si>
  <si>
    <t>Eiendeler</t>
  </si>
  <si>
    <t>Egenkapital og gjeld</t>
  </si>
  <si>
    <t>Kostpris totalt</t>
  </si>
  <si>
    <t>10.10.</t>
  </si>
  <si>
    <t>6.6.</t>
  </si>
  <si>
    <t xml:space="preserve">I desember 2020 ble det solgt 1 000 aksjer til </t>
  </si>
  <si>
    <t>Kurtasje</t>
  </si>
  <si>
    <t>per aksje</t>
  </si>
  <si>
    <t>Virkelig verdi 31.12.2020</t>
  </si>
  <si>
    <t>Gjennomsnittlig anskaffelseskost</t>
  </si>
  <si>
    <t>Anskaffelseskost solgte aksjer</t>
  </si>
  <si>
    <t>Salgssum solgte aksjer</t>
  </si>
  <si>
    <t>Gevinst</t>
  </si>
  <si>
    <t>Bokført verdi aksjer 31.12.2020</t>
  </si>
  <si>
    <t>Lønn og sosiale kostnader for november;</t>
  </si>
  <si>
    <t>i 19 år og 4 måneder</t>
  </si>
  <si>
    <t>Beholdning 1.12.2020</t>
  </si>
  <si>
    <t>(Beløp i hele 1 000)</t>
  </si>
  <si>
    <t>* Alt kjøp og salg er avgiftspliktig.</t>
  </si>
  <si>
    <t>Kjøpt 02.12.2020</t>
  </si>
  <si>
    <t>Kjøpt 13.12.2020</t>
  </si>
  <si>
    <t>Kjøpt 27.12.2020</t>
  </si>
  <si>
    <t>Solgt 28.12.2020</t>
  </si>
  <si>
    <t>Forutsetter at finanskostnader er rentekostnader.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</si>
</sst>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 * #,##0_ ;_ * \-#,##0_ ;_ * &quot;-&quot;??_ ;_ @_ "/>
    <numFmt numFmtId="167" formatCode="0.000\ %"/>
    <numFmt numFmtId="168" formatCode="0.0\ %"/>
    <numFmt numFmtId="169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49" fontId="2" fillId="0" borderId="2" xfId="0" applyNumberFormat="1" applyFont="1" applyBorder="1"/>
    <xf numFmtId="0" fontId="2" fillId="0" borderId="3" xfId="0" applyFont="1" applyBorder="1"/>
    <xf numFmtId="0" fontId="0" fillId="0" borderId="1" xfId="0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0" fillId="2" borderId="0" xfId="0" applyNumberFormat="1" applyFill="1"/>
    <xf numFmtId="0" fontId="2" fillId="3" borderId="0" xfId="0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4" borderId="0" xfId="0" applyNumberForma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0" fontId="0" fillId="3" borderId="0" xfId="0" applyFill="1"/>
    <xf numFmtId="0" fontId="2" fillId="0" borderId="13" xfId="0" applyFont="1" applyBorder="1"/>
    <xf numFmtId="3" fontId="0" fillId="5" borderId="0" xfId="0" applyNumberFormat="1" applyFill="1"/>
    <xf numFmtId="4" fontId="0" fillId="0" borderId="14" xfId="0" applyNumberFormat="1" applyBorder="1"/>
    <xf numFmtId="1" fontId="0" fillId="0" borderId="0" xfId="0" applyNumberFormat="1"/>
    <xf numFmtId="3" fontId="0" fillId="6" borderId="0" xfId="0" applyNumberFormat="1" applyFill="1"/>
    <xf numFmtId="0" fontId="2" fillId="0" borderId="9" xfId="0" applyFont="1" applyBorder="1"/>
    <xf numFmtId="17" fontId="0" fillId="0" borderId="9" xfId="0" applyNumberFormat="1" applyBorder="1" applyAlignment="1">
      <alignment horizontal="right"/>
    </xf>
    <xf numFmtId="3" fontId="0" fillId="7" borderId="0" xfId="0" applyNumberFormat="1" applyFill="1"/>
    <xf numFmtId="0" fontId="2" fillId="8" borderId="0" xfId="0" applyFont="1" applyFill="1"/>
    <xf numFmtId="164" fontId="0" fillId="6" borderId="0" xfId="0" applyNumberFormat="1" applyFill="1"/>
    <xf numFmtId="0" fontId="0" fillId="8" borderId="0" xfId="0" applyFill="1"/>
    <xf numFmtId="3" fontId="2" fillId="0" borderId="0" xfId="0" applyNumberFormat="1" applyFont="1"/>
    <xf numFmtId="3" fontId="0" fillId="7" borderId="7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2" fillId="0" borderId="8" xfId="0" applyFont="1" applyBorder="1"/>
    <xf numFmtId="0" fontId="0" fillId="0" borderId="14" xfId="0" applyBorder="1"/>
    <xf numFmtId="10" fontId="2" fillId="0" borderId="0" xfId="0" applyNumberFormat="1" applyFont="1"/>
    <xf numFmtId="0" fontId="2" fillId="6" borderId="0" xfId="0" applyFont="1" applyFill="1"/>
    <xf numFmtId="164" fontId="2" fillId="6" borderId="0" xfId="1" applyNumberFormat="1" applyFont="1" applyFill="1"/>
    <xf numFmtId="3" fontId="2" fillId="5" borderId="0" xfId="0" applyNumberFormat="1" applyFont="1" applyFill="1"/>
    <xf numFmtId="1" fontId="2" fillId="0" borderId="0" xfId="0" applyNumberFormat="1" applyFont="1"/>
    <xf numFmtId="0" fontId="0" fillId="0" borderId="0" xfId="0" applyFont="1"/>
    <xf numFmtId="10" fontId="0" fillId="0" borderId="0" xfId="0" applyNumberFormat="1" applyFont="1"/>
    <xf numFmtId="3" fontId="0" fillId="9" borderId="7" xfId="0" applyNumberFormat="1" applyFill="1" applyBorder="1" applyAlignment="1">
      <alignment horizontal="center"/>
    </xf>
    <xf numFmtId="0" fontId="0" fillId="9" borderId="12" xfId="0" applyFill="1" applyBorder="1"/>
    <xf numFmtId="1" fontId="0" fillId="0" borderId="12" xfId="0" applyNumberFormat="1" applyBorder="1"/>
    <xf numFmtId="164" fontId="0" fillId="0" borderId="0" xfId="0" applyNumberFormat="1"/>
    <xf numFmtId="164" fontId="0" fillId="0" borderId="0" xfId="1" applyNumberFormat="1" applyFont="1"/>
    <xf numFmtId="3" fontId="0" fillId="9" borderId="0" xfId="0" applyNumberFormat="1" applyFill="1"/>
    <xf numFmtId="166" fontId="0" fillId="0" borderId="0" xfId="1" applyNumberFormat="1" applyFont="1"/>
    <xf numFmtId="166" fontId="2" fillId="0" borderId="2" xfId="1" applyNumberFormat="1" applyFont="1" applyBorder="1"/>
    <xf numFmtId="0" fontId="2" fillId="0" borderId="14" xfId="0" applyFont="1" applyBorder="1"/>
    <xf numFmtId="166" fontId="2" fillId="0" borderId="14" xfId="1" applyNumberFormat="1" applyFont="1" applyBorder="1"/>
    <xf numFmtId="166" fontId="0" fillId="0" borderId="0" xfId="1" applyNumberFormat="1" applyFont="1" applyBorder="1"/>
    <xf numFmtId="166" fontId="1" fillId="0" borderId="14" xfId="1" applyNumberFormat="1" applyFont="1" applyBorder="1"/>
    <xf numFmtId="0" fontId="0" fillId="10" borderId="0" xfId="0" applyFill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0" fontId="0" fillId="0" borderId="0" xfId="2" applyNumberFormat="1" applyFont="1"/>
    <xf numFmtId="10" fontId="2" fillId="0" borderId="0" xfId="2" applyNumberFormat="1" applyFont="1"/>
    <xf numFmtId="167" fontId="3" fillId="0" borderId="0" xfId="0" applyNumberFormat="1" applyFont="1"/>
    <xf numFmtId="10" fontId="3" fillId="0" borderId="0" xfId="0" applyNumberFormat="1" applyFont="1"/>
    <xf numFmtId="168" fontId="0" fillId="0" borderId="0" xfId="2" applyNumberFormat="1" applyFont="1"/>
    <xf numFmtId="43" fontId="0" fillId="0" borderId="0" xfId="0" applyNumberFormat="1"/>
    <xf numFmtId="2" fontId="0" fillId="0" borderId="0" xfId="0" applyNumberFormat="1"/>
    <xf numFmtId="43" fontId="2" fillId="0" borderId="0" xfId="1" applyFont="1"/>
    <xf numFmtId="169" fontId="3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1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/>
    <xf numFmtId="0" fontId="0" fillId="9" borderId="15" xfId="0" applyFill="1" applyBorder="1"/>
    <xf numFmtId="0" fontId="2" fillId="9" borderId="16" xfId="0" applyFont="1" applyFill="1" applyBorder="1" applyAlignment="1">
      <alignment horizontal="center"/>
    </xf>
    <xf numFmtId="0" fontId="0" fillId="9" borderId="17" xfId="0" applyFill="1" applyBorder="1"/>
    <xf numFmtId="0" fontId="2" fillId="9" borderId="18" xfId="0" applyFont="1" applyFill="1" applyBorder="1" applyAlignment="1">
      <alignment horizontal="center"/>
    </xf>
    <xf numFmtId="0" fontId="0" fillId="9" borderId="19" xfId="0" applyFill="1" applyBorder="1"/>
    <xf numFmtId="3" fontId="0" fillId="9" borderId="20" xfId="0" applyNumberFormat="1" applyFill="1" applyBorder="1"/>
    <xf numFmtId="3" fontId="0" fillId="9" borderId="18" xfId="0" applyNumberFormat="1" applyFill="1" applyBorder="1"/>
    <xf numFmtId="0" fontId="2" fillId="9" borderId="21" xfId="0" applyFont="1" applyFill="1" applyBorder="1"/>
    <xf numFmtId="3" fontId="2" fillId="9" borderId="22" xfId="0" applyNumberFormat="1" applyFont="1" applyFill="1" applyBorder="1"/>
    <xf numFmtId="3" fontId="0" fillId="9" borderId="18" xfId="0" applyNumberFormat="1" applyFill="1" applyBorder="1" applyAlignment="1">
      <alignment horizontal="center"/>
    </xf>
    <xf numFmtId="0" fontId="2" fillId="9" borderId="23" xfId="0" applyFont="1" applyFill="1" applyBorder="1"/>
    <xf numFmtId="3" fontId="2" fillId="9" borderId="24" xfId="0" applyNumberFormat="1" applyFont="1" applyFill="1" applyBorder="1" applyAlignment="1">
      <alignment horizontal="center"/>
    </xf>
    <xf numFmtId="0" fontId="0" fillId="9" borderId="21" xfId="0" applyFill="1" applyBorder="1"/>
    <xf numFmtId="3" fontId="0" fillId="9" borderId="25" xfId="0" applyNumberFormat="1" applyFill="1" applyBorder="1"/>
    <xf numFmtId="0" fontId="2" fillId="9" borderId="26" xfId="0" applyFont="1" applyFill="1" applyBorder="1"/>
    <xf numFmtId="168" fontId="2" fillId="9" borderId="27" xfId="2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28" xfId="1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0" fillId="0" borderId="14" xfId="0" applyNumberFormat="1" applyBorder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64" fontId="0" fillId="0" borderId="14" xfId="1" applyNumberFormat="1" applyFont="1" applyBorder="1"/>
    <xf numFmtId="16" fontId="2" fillId="0" borderId="0" xfId="0" applyNumberFormat="1" applyFont="1" applyAlignment="1">
      <alignment horizontal="left"/>
    </xf>
    <xf numFmtId="0" fontId="6" fillId="0" borderId="0" xfId="0" applyFont="1"/>
    <xf numFmtId="164" fontId="0" fillId="0" borderId="37" xfId="0" applyNumberFormat="1" applyBorder="1"/>
    <xf numFmtId="0" fontId="0" fillId="9" borderId="6" xfId="0" applyFill="1" applyBorder="1"/>
    <xf numFmtId="164" fontId="0" fillId="9" borderId="0" xfId="1" applyNumberFormat="1" applyFont="1" applyFill="1" applyBorder="1"/>
    <xf numFmtId="164" fontId="0" fillId="9" borderId="6" xfId="1" applyNumberFormat="1" applyFont="1" applyFill="1" applyBorder="1"/>
    <xf numFmtId="164" fontId="0" fillId="9" borderId="12" xfId="1" applyNumberFormat="1" applyFont="1" applyFill="1" applyBorder="1"/>
    <xf numFmtId="0" fontId="2" fillId="9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4" fontId="2" fillId="0" borderId="12" xfId="0" applyNumberFormat="1" applyFont="1" applyBorder="1"/>
    <xf numFmtId="164" fontId="2" fillId="0" borderId="37" xfId="0" applyNumberFormat="1" applyFont="1" applyBorder="1"/>
    <xf numFmtId="164" fontId="2" fillId="9" borderId="6" xfId="0" applyNumberFormat="1" applyFont="1" applyFill="1" applyBorder="1"/>
    <xf numFmtId="164" fontId="2" fillId="9" borderId="12" xfId="0" applyNumberFormat="1" applyFont="1" applyFill="1" applyBorder="1"/>
    <xf numFmtId="10" fontId="0" fillId="0" borderId="0" xfId="0" applyNumberFormat="1"/>
    <xf numFmtId="3" fontId="0" fillId="0" borderId="14" xfId="0" applyNumberFormat="1" applyBorder="1"/>
    <xf numFmtId="164" fontId="2" fillId="0" borderId="2" xfId="1" applyNumberFormat="1" applyFont="1" applyBorder="1"/>
    <xf numFmtId="164" fontId="2" fillId="0" borderId="2" xfId="0" applyNumberFormat="1" applyFont="1" applyBorder="1"/>
    <xf numFmtId="0" fontId="2" fillId="9" borderId="29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164" fontId="0" fillId="9" borderId="22" xfId="1" applyNumberFormat="1" applyFont="1" applyFill="1" applyBorder="1"/>
    <xf numFmtId="164" fontId="0" fillId="9" borderId="36" xfId="1" applyNumberFormat="1" applyFont="1" applyFill="1" applyBorder="1"/>
    <xf numFmtId="0" fontId="0" fillId="9" borderId="34" xfId="0" applyFill="1" applyBorder="1"/>
    <xf numFmtId="164" fontId="0" fillId="9" borderId="33" xfId="1" applyNumberFormat="1" applyFont="1" applyFill="1" applyBorder="1"/>
    <xf numFmtId="164" fontId="2" fillId="9" borderId="32" xfId="1" applyNumberFormat="1" applyFont="1" applyFill="1" applyBorder="1"/>
    <xf numFmtId="0" fontId="0" fillId="9" borderId="31" xfId="0" applyFill="1" applyBorder="1" applyAlignment="1">
      <alignment horizontal="right"/>
    </xf>
    <xf numFmtId="0" fontId="7" fillId="0" borderId="0" xfId="0" applyFont="1"/>
    <xf numFmtId="164" fontId="2" fillId="0" borderId="14" xfId="1" applyNumberFormat="1" applyFont="1" applyBorder="1"/>
    <xf numFmtId="0" fontId="2" fillId="0" borderId="0" xfId="0" applyFont="1" applyBorder="1"/>
    <xf numFmtId="166" fontId="2" fillId="0" borderId="0" xfId="1" applyNumberFormat="1" applyFont="1" applyBorder="1"/>
    <xf numFmtId="3" fontId="2" fillId="9" borderId="2" xfId="0" applyNumberFormat="1" applyFon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9" borderId="10" xfId="1" applyNumberFormat="1" applyFont="1" applyFill="1" applyBorder="1" applyAlignment="1">
      <alignment horizontal="center"/>
    </xf>
    <xf numFmtId="164" fontId="0" fillId="9" borderId="11" xfId="1" applyNumberFormat="1" applyFont="1" applyFill="1" applyBorder="1" applyAlignment="1">
      <alignment horizontal="center"/>
    </xf>
    <xf numFmtId="3" fontId="0" fillId="9" borderId="7" xfId="0" applyNumberFormat="1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64" fontId="0" fillId="6" borderId="10" xfId="1" applyNumberFormat="1" applyFont="1" applyFill="1" applyBorder="1" applyAlignment="1">
      <alignment horizontal="center"/>
    </xf>
    <xf numFmtId="164" fontId="0" fillId="6" borderId="11" xfId="1" applyNumberFormat="1" applyFon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105833</xdr:colOff>
      <xdr:row>13</xdr:row>
      <xdr:rowOff>151342</xdr:rowOff>
    </xdr:from>
    <xdr:to>
      <xdr:col>10</xdr:col>
      <xdr:colOff>533410</xdr:colOff>
      <xdr:row>28</xdr:row>
      <xdr:rowOff>32809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E83CE6-5718-4EDD-BB28-5937A0BF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133" y="10575502"/>
          <a:ext cx="3597497" cy="26246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workbookViewId="0">
      <selection activeCell="E9" sqref="E9"/>
    </sheetView>
  </sheetViews>
  <sheetFormatPr baseColWidth="10" defaultRowHeight="15" x14ac:dyDescent="0.25"/>
  <cols>
    <col min="3" max="3" width="14.42578125" bestFit="1" customWidth="1"/>
  </cols>
  <sheetData>
    <row r="2" spans="1:10" x14ac:dyDescent="0.25">
      <c r="A2" s="1" t="s">
        <v>0</v>
      </c>
      <c r="B2" s="1"/>
      <c r="C2" s="1"/>
      <c r="D2" s="1"/>
      <c r="E2" s="1" t="s">
        <v>68</v>
      </c>
      <c r="F2" s="1"/>
      <c r="G2" s="1"/>
      <c r="I2" s="1" t="s">
        <v>168</v>
      </c>
    </row>
    <row r="3" spans="1:10" x14ac:dyDescent="0.25">
      <c r="A3" s="1" t="s">
        <v>2</v>
      </c>
      <c r="B3" s="1"/>
      <c r="C3" s="1"/>
      <c r="D3" s="1"/>
      <c r="E3" s="1" t="s">
        <v>3</v>
      </c>
      <c r="F3" s="1"/>
      <c r="G3" s="1"/>
    </row>
    <row r="4" spans="1:10" x14ac:dyDescent="0.25">
      <c r="A4" s="1" t="s">
        <v>4</v>
      </c>
      <c r="B4" s="1"/>
      <c r="C4" s="1"/>
      <c r="D4" s="1"/>
      <c r="E4" s="1" t="s">
        <v>5</v>
      </c>
      <c r="F4" s="1"/>
      <c r="G4" s="1"/>
      <c r="I4" s="1">
        <v>1920</v>
      </c>
      <c r="J4" s="45" t="s">
        <v>12</v>
      </c>
    </row>
    <row r="5" spans="1:10" x14ac:dyDescent="0.25">
      <c r="I5" s="1">
        <v>1950</v>
      </c>
      <c r="J5" s="45" t="s">
        <v>15</v>
      </c>
    </row>
    <row r="6" spans="1:10" x14ac:dyDescent="0.25">
      <c r="I6" s="1">
        <v>2600</v>
      </c>
      <c r="J6" s="45" t="s">
        <v>16</v>
      </c>
    </row>
    <row r="7" spans="1:10" x14ac:dyDescent="0.25">
      <c r="I7" s="1">
        <v>2770</v>
      </c>
      <c r="J7" s="45" t="s">
        <v>21</v>
      </c>
    </row>
    <row r="8" spans="1:10" x14ac:dyDescent="0.25">
      <c r="A8" s="1" t="s">
        <v>69</v>
      </c>
      <c r="B8" s="1"/>
      <c r="C8" s="1"/>
      <c r="D8" s="1"/>
      <c r="E8" s="1"/>
      <c r="F8" s="1"/>
      <c r="G8" s="1"/>
      <c r="I8" s="1">
        <v>2780</v>
      </c>
      <c r="J8" s="45" t="s">
        <v>75</v>
      </c>
    </row>
    <row r="9" spans="1:10" x14ac:dyDescent="0.25">
      <c r="A9" s="1" t="s">
        <v>6</v>
      </c>
      <c r="B9" s="1"/>
      <c r="C9" s="1"/>
      <c r="D9" s="1"/>
      <c r="E9" s="1" t="s">
        <v>7</v>
      </c>
      <c r="F9" s="1"/>
      <c r="G9" s="1"/>
      <c r="I9" s="1">
        <v>2940</v>
      </c>
      <c r="J9" s="45" t="s">
        <v>28</v>
      </c>
    </row>
    <row r="10" spans="1:10" x14ac:dyDescent="0.25">
      <c r="I10" s="1">
        <v>5000</v>
      </c>
      <c r="J10" s="45" t="s">
        <v>30</v>
      </c>
    </row>
    <row r="11" spans="1:10" x14ac:dyDescent="0.25">
      <c r="A11" s="2" t="s">
        <v>70</v>
      </c>
      <c r="B11" s="3"/>
      <c r="C11" s="3"/>
      <c r="D11" s="4" t="s">
        <v>60</v>
      </c>
      <c r="E11" s="3"/>
      <c r="F11" s="3" t="s">
        <v>61</v>
      </c>
      <c r="G11" s="5"/>
      <c r="I11" s="1">
        <v>5180</v>
      </c>
      <c r="J11" s="45" t="s">
        <v>33</v>
      </c>
    </row>
    <row r="12" spans="1:10" x14ac:dyDescent="0.25">
      <c r="A12" s="6"/>
      <c r="B12" s="7"/>
      <c r="C12" s="7"/>
      <c r="D12" s="8"/>
      <c r="E12" s="7"/>
      <c r="F12" s="7"/>
      <c r="G12" s="9"/>
      <c r="I12" s="1">
        <v>5400</v>
      </c>
      <c r="J12" s="45" t="s">
        <v>35</v>
      </c>
    </row>
    <row r="13" spans="1:10" x14ac:dyDescent="0.25">
      <c r="A13" s="10" t="s">
        <v>8</v>
      </c>
      <c r="B13" s="11"/>
      <c r="C13" s="12" t="s">
        <v>9</v>
      </c>
      <c r="D13" s="12" t="s">
        <v>10</v>
      </c>
      <c r="E13" s="12" t="s">
        <v>71</v>
      </c>
      <c r="F13" s="10" t="s">
        <v>11</v>
      </c>
      <c r="G13" s="11"/>
      <c r="I13" s="1">
        <v>5480</v>
      </c>
      <c r="J13" s="45" t="s">
        <v>36</v>
      </c>
    </row>
    <row r="14" spans="1:10" x14ac:dyDescent="0.25">
      <c r="A14" s="15"/>
      <c r="B14" s="16"/>
      <c r="C14" s="17"/>
      <c r="D14" s="17"/>
      <c r="E14" s="17"/>
      <c r="F14" s="15"/>
      <c r="G14" s="16"/>
    </row>
    <row r="15" spans="1:10" x14ac:dyDescent="0.25">
      <c r="A15" s="19" t="s">
        <v>62</v>
      </c>
      <c r="B15" s="20"/>
      <c r="C15" s="21">
        <v>70</v>
      </c>
      <c r="D15" s="21">
        <v>100</v>
      </c>
      <c r="E15" s="22">
        <v>37257</v>
      </c>
      <c r="F15" s="19" t="s">
        <v>63</v>
      </c>
      <c r="G15" s="20"/>
    </row>
    <row r="16" spans="1:10" x14ac:dyDescent="0.25">
      <c r="A16" s="15"/>
      <c r="G16" s="9"/>
    </row>
    <row r="17" spans="1:10" x14ac:dyDescent="0.25">
      <c r="A17" s="12" t="s">
        <v>17</v>
      </c>
      <c r="B17" s="12" t="s">
        <v>18</v>
      </c>
      <c r="C17" s="12" t="s">
        <v>19</v>
      </c>
      <c r="D17" s="10" t="s">
        <v>72</v>
      </c>
      <c r="E17" s="11"/>
      <c r="F17" s="24" t="s">
        <v>20</v>
      </c>
      <c r="G17" s="11"/>
    </row>
    <row r="18" spans="1:10" x14ac:dyDescent="0.25">
      <c r="A18" s="21"/>
      <c r="B18" s="21">
        <v>46</v>
      </c>
      <c r="C18" s="49">
        <v>12101545670</v>
      </c>
      <c r="D18" s="21" t="s">
        <v>64</v>
      </c>
      <c r="E18" s="21"/>
      <c r="F18" s="26">
        <v>79054</v>
      </c>
      <c r="G18" s="20"/>
    </row>
    <row r="19" spans="1:10" x14ac:dyDescent="0.25">
      <c r="A19" s="12" t="s">
        <v>22</v>
      </c>
      <c r="B19" s="12" t="s">
        <v>23</v>
      </c>
      <c r="C19" s="12" t="s">
        <v>24</v>
      </c>
      <c r="D19" s="12" t="s">
        <v>25</v>
      </c>
      <c r="E19" s="12" t="s">
        <v>26</v>
      </c>
      <c r="F19" s="137" t="s">
        <v>27</v>
      </c>
      <c r="G19" s="138"/>
    </row>
    <row r="20" spans="1:10" x14ac:dyDescent="0.25">
      <c r="A20" s="29"/>
      <c r="B20" s="29"/>
      <c r="C20" s="29"/>
      <c r="D20" s="29" t="s">
        <v>29</v>
      </c>
      <c r="E20" s="29"/>
      <c r="F20" s="139"/>
      <c r="G20" s="140"/>
    </row>
    <row r="21" spans="1:10" x14ac:dyDescent="0.25">
      <c r="A21" s="17">
        <v>3340</v>
      </c>
      <c r="B21" s="17" t="s">
        <v>73</v>
      </c>
      <c r="C21" s="30">
        <v>44501</v>
      </c>
      <c r="D21" s="17"/>
      <c r="E21" s="17"/>
      <c r="F21" s="143">
        <v>51700</v>
      </c>
      <c r="G21" s="144"/>
    </row>
    <row r="22" spans="1:10" x14ac:dyDescent="0.25">
      <c r="A22" s="17">
        <v>441</v>
      </c>
      <c r="B22" s="17" t="s">
        <v>32</v>
      </c>
      <c r="C22" s="30">
        <v>44501</v>
      </c>
      <c r="D22" s="17"/>
      <c r="E22" s="17"/>
      <c r="F22" s="143">
        <v>-23782</v>
      </c>
      <c r="G22" s="144"/>
    </row>
    <row r="23" spans="1:10" x14ac:dyDescent="0.25">
      <c r="A23" s="17"/>
      <c r="B23" s="17"/>
      <c r="C23" s="17"/>
      <c r="D23" s="17"/>
      <c r="E23" s="17"/>
      <c r="F23" s="145"/>
      <c r="G23" s="146"/>
    </row>
    <row r="24" spans="1:10" x14ac:dyDescent="0.25">
      <c r="A24" s="21"/>
      <c r="B24" s="21"/>
      <c r="C24" s="21"/>
      <c r="D24" s="21"/>
      <c r="E24" s="21"/>
      <c r="F24" s="147"/>
      <c r="G24" s="148"/>
    </row>
    <row r="25" spans="1:10" x14ac:dyDescent="0.25">
      <c r="A25" s="2" t="s">
        <v>65</v>
      </c>
      <c r="B25" s="3"/>
      <c r="C25" s="3"/>
      <c r="D25" s="5"/>
      <c r="E25" s="3" t="s">
        <v>37</v>
      </c>
      <c r="F25" s="135">
        <f>F21+F22</f>
        <v>27918</v>
      </c>
      <c r="G25" s="136"/>
    </row>
    <row r="26" spans="1:10" x14ac:dyDescent="0.25">
      <c r="A26" s="6"/>
      <c r="B26" s="7"/>
      <c r="C26" s="7"/>
      <c r="D26" s="7"/>
      <c r="E26" s="7"/>
      <c r="F26" s="7"/>
      <c r="G26" s="9"/>
    </row>
    <row r="27" spans="1:10" x14ac:dyDescent="0.25">
      <c r="A27" s="12" t="s">
        <v>39</v>
      </c>
      <c r="B27" s="12" t="s">
        <v>40</v>
      </c>
      <c r="C27" s="12" t="s">
        <v>74</v>
      </c>
      <c r="D27" s="12" t="s">
        <v>41</v>
      </c>
      <c r="E27" s="12" t="s">
        <v>42</v>
      </c>
      <c r="F27" s="137" t="s">
        <v>43</v>
      </c>
      <c r="G27" s="138"/>
    </row>
    <row r="28" spans="1:10" x14ac:dyDescent="0.25">
      <c r="A28" s="29"/>
      <c r="B28" s="29" t="s">
        <v>44</v>
      </c>
      <c r="C28" s="29"/>
      <c r="D28" s="29"/>
      <c r="E28" s="29"/>
      <c r="F28" s="139" t="s">
        <v>45</v>
      </c>
      <c r="G28" s="140"/>
    </row>
    <row r="29" spans="1:10" x14ac:dyDescent="0.25">
      <c r="A29" s="21"/>
      <c r="B29" s="47">
        <f>F21</f>
        <v>51700</v>
      </c>
      <c r="C29" s="48"/>
      <c r="D29" s="47">
        <f>F22</f>
        <v>-23782</v>
      </c>
      <c r="E29" s="48"/>
      <c r="F29" s="141" t="s">
        <v>66</v>
      </c>
      <c r="G29" s="142"/>
    </row>
    <row r="30" spans="1:10" x14ac:dyDescent="0.25">
      <c r="A30" s="12"/>
      <c r="B30" s="12" t="s">
        <v>47</v>
      </c>
      <c r="C30" s="11" t="s">
        <v>48</v>
      </c>
      <c r="D30" s="12" t="s">
        <v>49</v>
      </c>
      <c r="E30" s="12" t="s">
        <v>50</v>
      </c>
      <c r="F30" s="1" t="s">
        <v>51</v>
      </c>
      <c r="G30" s="11"/>
    </row>
    <row r="31" spans="1:10" x14ac:dyDescent="0.25">
      <c r="A31" s="29"/>
      <c r="B31" s="1"/>
      <c r="C31" s="38"/>
      <c r="D31" s="29" t="s">
        <v>53</v>
      </c>
      <c r="E31" s="29" t="s">
        <v>54</v>
      </c>
      <c r="F31" s="1" t="s">
        <v>44</v>
      </c>
      <c r="G31" s="38"/>
    </row>
    <row r="32" spans="1:10" x14ac:dyDescent="0.25">
      <c r="A32" s="21"/>
      <c r="B32" s="39"/>
      <c r="C32" s="20"/>
      <c r="D32" s="21"/>
      <c r="E32" s="21"/>
      <c r="F32" s="39"/>
      <c r="G32" s="20"/>
      <c r="I32" s="1"/>
      <c r="J32" s="1"/>
    </row>
    <row r="34" spans="1:10" s="1" customFormat="1" x14ac:dyDescent="0.25">
      <c r="A34" s="1" t="s">
        <v>67</v>
      </c>
      <c r="I34"/>
      <c r="J34"/>
    </row>
    <row r="36" spans="1:10" x14ac:dyDescent="0.25">
      <c r="A36" s="1" t="s">
        <v>56</v>
      </c>
      <c r="B36" s="1"/>
      <c r="C36" s="46">
        <v>0.12</v>
      </c>
    </row>
    <row r="37" spans="1:10" x14ac:dyDescent="0.25">
      <c r="A37" s="1" t="s">
        <v>57</v>
      </c>
      <c r="B37" s="1"/>
      <c r="C37" s="46">
        <v>0.14099999999999999</v>
      </c>
    </row>
  </sheetData>
  <mergeCells count="10">
    <mergeCell ref="F25:G25"/>
    <mergeCell ref="F27:G27"/>
    <mergeCell ref="F28:G28"/>
    <mergeCell ref="F29:G29"/>
    <mergeCell ref="F19:G19"/>
    <mergeCell ref="F20:G20"/>
    <mergeCell ref="F21:G21"/>
    <mergeCell ref="F22:G22"/>
    <mergeCell ref="F23:G23"/>
    <mergeCell ref="F24:G2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4"/>
  <sheetViews>
    <sheetView workbookViewId="0">
      <selection activeCell="A6" sqref="A6"/>
    </sheetView>
  </sheetViews>
  <sheetFormatPr baseColWidth="10" defaultRowHeight="15" x14ac:dyDescent="0.25"/>
  <cols>
    <col min="1" max="1" width="37.140625" bestFit="1" customWidth="1"/>
    <col min="3" max="3" width="16.28515625" bestFit="1" customWidth="1"/>
  </cols>
  <sheetData>
    <row r="1" spans="1:4" x14ac:dyDescent="0.25">
      <c r="A1" s="1" t="s">
        <v>118</v>
      </c>
    </row>
    <row r="2" spans="1:4" x14ac:dyDescent="0.25">
      <c r="A2" s="75" t="s">
        <v>172</v>
      </c>
      <c r="B2" s="75" t="s">
        <v>173</v>
      </c>
      <c r="C2" s="75" t="s">
        <v>174</v>
      </c>
      <c r="D2" s="75" t="s">
        <v>38</v>
      </c>
    </row>
    <row r="3" spans="1:4" x14ac:dyDescent="0.25">
      <c r="A3" s="100" t="s">
        <v>233</v>
      </c>
      <c r="B3">
        <v>100</v>
      </c>
      <c r="C3">
        <v>840</v>
      </c>
      <c r="D3" s="51">
        <f t="shared" ref="D3:D5" si="0">B3*C3</f>
        <v>84000</v>
      </c>
    </row>
    <row r="4" spans="1:4" x14ac:dyDescent="0.25">
      <c r="A4" s="100" t="s">
        <v>234</v>
      </c>
      <c r="B4">
        <v>300</v>
      </c>
      <c r="C4">
        <v>860</v>
      </c>
      <c r="D4" s="51">
        <f t="shared" si="0"/>
        <v>258000</v>
      </c>
    </row>
    <row r="5" spans="1:4" x14ac:dyDescent="0.25">
      <c r="A5" s="100" t="s">
        <v>235</v>
      </c>
      <c r="B5">
        <v>400</v>
      </c>
      <c r="C5">
        <v>870</v>
      </c>
      <c r="D5" s="101">
        <f t="shared" si="0"/>
        <v>348000</v>
      </c>
    </row>
    <row r="6" spans="1:4" s="1" customFormat="1" x14ac:dyDescent="0.25">
      <c r="A6" s="102" t="s">
        <v>175</v>
      </c>
      <c r="D6" s="97">
        <f>SUM(D3:D5)</f>
        <v>690000</v>
      </c>
    </row>
    <row r="8" spans="1:4" x14ac:dyDescent="0.25">
      <c r="A8" s="102" t="s">
        <v>124</v>
      </c>
      <c r="C8" s="1" t="s">
        <v>177</v>
      </c>
    </row>
    <row r="9" spans="1:4" x14ac:dyDescent="0.25">
      <c r="A9" t="s">
        <v>176</v>
      </c>
      <c r="B9">
        <f>B3+B4+B5</f>
        <v>800</v>
      </c>
      <c r="C9">
        <v>870</v>
      </c>
      <c r="D9" s="51">
        <f>B9*C9</f>
        <v>696000</v>
      </c>
    </row>
    <row r="10" spans="1:4" x14ac:dyDescent="0.25">
      <c r="A10" t="s">
        <v>178</v>
      </c>
      <c r="D10" s="101">
        <v>-20000</v>
      </c>
    </row>
    <row r="11" spans="1:4" x14ac:dyDescent="0.25">
      <c r="A11" s="1" t="s">
        <v>179</v>
      </c>
      <c r="B11" s="1"/>
      <c r="C11" s="1"/>
      <c r="D11" s="97">
        <f>SUM(D9:D10)</f>
        <v>676000</v>
      </c>
    </row>
    <row r="13" spans="1:4" x14ac:dyDescent="0.25">
      <c r="A13" t="s">
        <v>180</v>
      </c>
      <c r="D13" s="50">
        <f>D11</f>
        <v>676000</v>
      </c>
    </row>
    <row r="14" spans="1:4" x14ac:dyDescent="0.25">
      <c r="A14" t="s">
        <v>181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3" workbookViewId="0">
      <selection activeCell="A42" sqref="A42"/>
    </sheetView>
  </sheetViews>
  <sheetFormatPr baseColWidth="10" defaultRowHeight="15" x14ac:dyDescent="0.25"/>
  <cols>
    <col min="1" max="1" width="18.7109375" bestFit="1" customWidth="1"/>
  </cols>
  <sheetData>
    <row r="1" spans="1:3" x14ac:dyDescent="0.25">
      <c r="A1" s="1" t="s">
        <v>231</v>
      </c>
    </row>
    <row r="2" spans="1:3" x14ac:dyDescent="0.25">
      <c r="A2" s="1" t="s">
        <v>83</v>
      </c>
      <c r="B2" s="1"/>
      <c r="C2" s="1"/>
    </row>
    <row r="3" spans="1:3" x14ac:dyDescent="0.25">
      <c r="A3" s="1" t="s">
        <v>84</v>
      </c>
      <c r="B3" s="1">
        <v>2020</v>
      </c>
      <c r="C3" s="1">
        <v>2019</v>
      </c>
    </row>
    <row r="4" spans="1:3" x14ac:dyDescent="0.25">
      <c r="A4" t="s">
        <v>85</v>
      </c>
      <c r="B4" s="53">
        <v>90000</v>
      </c>
      <c r="C4" s="53">
        <v>80000</v>
      </c>
    </row>
    <row r="5" spans="1:3" x14ac:dyDescent="0.25">
      <c r="A5" t="s">
        <v>86</v>
      </c>
      <c r="B5" s="53">
        <v>46800</v>
      </c>
      <c r="C5" s="53">
        <v>44000</v>
      </c>
    </row>
    <row r="6" spans="1:3" x14ac:dyDescent="0.25">
      <c r="A6" t="s">
        <v>87</v>
      </c>
      <c r="B6" s="53">
        <v>17400</v>
      </c>
      <c r="C6" s="53">
        <v>16300</v>
      </c>
    </row>
    <row r="7" spans="1:3" x14ac:dyDescent="0.25">
      <c r="A7" t="s">
        <v>88</v>
      </c>
      <c r="B7" s="53">
        <v>7000</v>
      </c>
      <c r="C7" s="53">
        <v>6500</v>
      </c>
    </row>
    <row r="8" spans="1:3" x14ac:dyDescent="0.25">
      <c r="A8" t="s">
        <v>89</v>
      </c>
      <c r="B8" s="53">
        <v>13500</v>
      </c>
      <c r="C8" s="53">
        <v>12300</v>
      </c>
    </row>
    <row r="9" spans="1:3" x14ac:dyDescent="0.25">
      <c r="A9" s="3" t="s">
        <v>90</v>
      </c>
      <c r="B9" s="54">
        <f>B4-B5-B6-B7-B8</f>
        <v>5300</v>
      </c>
      <c r="C9" s="54">
        <f>C4-C5-C6-C7-C8</f>
        <v>900</v>
      </c>
    </row>
    <row r="10" spans="1:3" x14ac:dyDescent="0.25">
      <c r="A10" t="s">
        <v>91</v>
      </c>
      <c r="B10" s="53">
        <v>500</v>
      </c>
      <c r="C10" s="53">
        <v>200</v>
      </c>
    </row>
    <row r="11" spans="1:3" x14ac:dyDescent="0.25">
      <c r="A11" t="s">
        <v>92</v>
      </c>
      <c r="B11" s="53">
        <v>1200</v>
      </c>
      <c r="C11" s="53">
        <v>1100</v>
      </c>
    </row>
    <row r="12" spans="1:3" x14ac:dyDescent="0.25">
      <c r="A12" s="3" t="s">
        <v>93</v>
      </c>
      <c r="B12" s="54">
        <f>B9+B10-B11</f>
        <v>4600</v>
      </c>
      <c r="C12" s="54">
        <f>C9+C10-C11</f>
        <v>0</v>
      </c>
    </row>
    <row r="13" spans="1:3" x14ac:dyDescent="0.25">
      <c r="A13" t="s">
        <v>94</v>
      </c>
      <c r="B13" s="53">
        <v>1288</v>
      </c>
      <c r="C13" s="53">
        <v>0</v>
      </c>
    </row>
    <row r="14" spans="1:3" x14ac:dyDescent="0.25">
      <c r="A14" s="3" t="s">
        <v>95</v>
      </c>
      <c r="B14" s="54">
        <f>B12-B13</f>
        <v>3312</v>
      </c>
      <c r="C14" s="54">
        <v>0</v>
      </c>
    </row>
    <row r="15" spans="1:3" x14ac:dyDescent="0.25">
      <c r="A15" s="133"/>
      <c r="B15" s="134"/>
      <c r="C15" s="134"/>
    </row>
    <row r="16" spans="1:3" x14ac:dyDescent="0.25">
      <c r="A16" s="1" t="s">
        <v>231</v>
      </c>
    </row>
    <row r="17" spans="1:4" x14ac:dyDescent="0.25">
      <c r="A17" s="1" t="s">
        <v>83</v>
      </c>
      <c r="B17" s="1"/>
      <c r="C17" s="1"/>
      <c r="D17" s="1"/>
    </row>
    <row r="18" spans="1:4" x14ac:dyDescent="0.25">
      <c r="A18" s="1" t="s">
        <v>96</v>
      </c>
      <c r="B18" s="1">
        <v>2020</v>
      </c>
      <c r="C18" s="1">
        <v>2019</v>
      </c>
      <c r="D18" s="1">
        <v>2018</v>
      </c>
    </row>
    <row r="19" spans="1:4" x14ac:dyDescent="0.25">
      <c r="A19" t="s">
        <v>97</v>
      </c>
      <c r="B19" s="53">
        <v>30000</v>
      </c>
      <c r="C19" s="53">
        <v>35000</v>
      </c>
      <c r="D19" s="53">
        <v>30000</v>
      </c>
    </row>
    <row r="20" spans="1:4" x14ac:dyDescent="0.25">
      <c r="A20" s="3" t="s">
        <v>98</v>
      </c>
      <c r="B20" s="54">
        <f>SUM(B19)</f>
        <v>30000</v>
      </c>
      <c r="C20" s="54">
        <f t="shared" ref="C20:D20" si="0">SUM(C19)</f>
        <v>35000</v>
      </c>
      <c r="D20" s="54">
        <f t="shared" si="0"/>
        <v>30000</v>
      </c>
    </row>
    <row r="21" spans="1:4" x14ac:dyDescent="0.25">
      <c r="A21" t="s">
        <v>99</v>
      </c>
      <c r="B21" s="53">
        <v>8000</v>
      </c>
      <c r="C21" s="53">
        <v>11000</v>
      </c>
      <c r="D21" s="53">
        <v>9000</v>
      </c>
    </row>
    <row r="22" spans="1:4" x14ac:dyDescent="0.25">
      <c r="A22" t="s">
        <v>100</v>
      </c>
      <c r="B22" s="53">
        <v>6250</v>
      </c>
      <c r="C22" s="53">
        <v>12500</v>
      </c>
      <c r="D22" s="53">
        <v>10000</v>
      </c>
    </row>
    <row r="23" spans="1:4" x14ac:dyDescent="0.25">
      <c r="A23" t="s">
        <v>12</v>
      </c>
      <c r="B23" s="53">
        <v>5750</v>
      </c>
      <c r="C23" s="53">
        <v>1500</v>
      </c>
      <c r="D23" s="53">
        <v>1000</v>
      </c>
    </row>
    <row r="24" spans="1:4" x14ac:dyDescent="0.25">
      <c r="A24" s="3" t="s">
        <v>101</v>
      </c>
      <c r="B24" s="54">
        <f>SUM(B21:B23)</f>
        <v>20000</v>
      </c>
      <c r="C24" s="54">
        <f t="shared" ref="C24:D24" si="1">SUM(C21:C23)</f>
        <v>25000</v>
      </c>
      <c r="D24" s="54">
        <f t="shared" si="1"/>
        <v>20000</v>
      </c>
    </row>
    <row r="25" spans="1:4" x14ac:dyDescent="0.25">
      <c r="A25" s="55" t="s">
        <v>102</v>
      </c>
      <c r="B25" s="56">
        <f>B20+B24</f>
        <v>50000</v>
      </c>
      <c r="C25" s="56">
        <f t="shared" ref="C25:D25" si="2">C20+C24</f>
        <v>60000</v>
      </c>
      <c r="D25" s="56">
        <f t="shared" si="2"/>
        <v>50000</v>
      </c>
    </row>
    <row r="26" spans="1:4" x14ac:dyDescent="0.25">
      <c r="B26" s="53"/>
      <c r="C26" s="53"/>
      <c r="D26" s="53"/>
    </row>
    <row r="27" spans="1:4" x14ac:dyDescent="0.25">
      <c r="A27" t="s">
        <v>103</v>
      </c>
      <c r="B27" s="53">
        <v>4000</v>
      </c>
      <c r="C27" s="53">
        <v>4000</v>
      </c>
      <c r="D27" s="53">
        <v>3000</v>
      </c>
    </row>
    <row r="28" spans="1:4" x14ac:dyDescent="0.25">
      <c r="A28" t="s">
        <v>104</v>
      </c>
      <c r="B28" s="57">
        <v>1000</v>
      </c>
      <c r="C28" s="57">
        <v>1000</v>
      </c>
      <c r="D28" s="57">
        <v>0</v>
      </c>
    </row>
    <row r="29" spans="1:4" x14ac:dyDescent="0.25">
      <c r="A29" s="39" t="s">
        <v>105</v>
      </c>
      <c r="B29" s="58">
        <v>11500</v>
      </c>
      <c r="C29" s="58">
        <v>9000</v>
      </c>
      <c r="D29" s="58">
        <v>9000</v>
      </c>
    </row>
    <row r="30" spans="1:4" x14ac:dyDescent="0.25">
      <c r="A30" s="3" t="s">
        <v>106</v>
      </c>
      <c r="B30" s="54">
        <f>SUM(B27:B29)</f>
        <v>16500</v>
      </c>
      <c r="C30" s="54">
        <f t="shared" ref="C30:D30" si="3">SUM(C27:C29)</f>
        <v>14000</v>
      </c>
      <c r="D30" s="54">
        <f t="shared" si="3"/>
        <v>12000</v>
      </c>
    </row>
    <row r="31" spans="1:4" x14ac:dyDescent="0.25">
      <c r="A31" s="3" t="s">
        <v>107</v>
      </c>
      <c r="B31" s="54">
        <v>25000</v>
      </c>
      <c r="C31" s="54">
        <v>30000</v>
      </c>
      <c r="D31" s="54">
        <v>23000</v>
      </c>
    </row>
    <row r="32" spans="1:4" x14ac:dyDescent="0.25">
      <c r="A32" t="s">
        <v>108</v>
      </c>
      <c r="B32" s="53">
        <v>0</v>
      </c>
      <c r="C32" s="53">
        <v>3500</v>
      </c>
      <c r="D32" s="53">
        <v>4440</v>
      </c>
    </row>
    <row r="33" spans="1:6" x14ac:dyDescent="0.25">
      <c r="A33" t="s">
        <v>109</v>
      </c>
      <c r="B33" s="53">
        <v>3125</v>
      </c>
      <c r="C33" s="53">
        <v>6250</v>
      </c>
      <c r="D33" s="53">
        <v>5000</v>
      </c>
    </row>
    <row r="34" spans="1:6" x14ac:dyDescent="0.25">
      <c r="A34" t="s">
        <v>110</v>
      </c>
      <c r="B34" s="53">
        <v>1288</v>
      </c>
      <c r="C34" s="53">
        <v>0</v>
      </c>
      <c r="D34" s="53">
        <v>560</v>
      </c>
    </row>
    <row r="35" spans="1:6" x14ac:dyDescent="0.25">
      <c r="A35" t="s">
        <v>111</v>
      </c>
      <c r="B35" s="53">
        <v>812</v>
      </c>
      <c r="C35" s="53">
        <v>0</v>
      </c>
      <c r="D35" s="53">
        <v>440</v>
      </c>
    </row>
    <row r="36" spans="1:6" x14ac:dyDescent="0.25">
      <c r="A36" t="s">
        <v>112</v>
      </c>
      <c r="B36" s="53">
        <v>3275</v>
      </c>
      <c r="C36" s="53">
        <v>6250</v>
      </c>
      <c r="D36" s="53">
        <v>4560</v>
      </c>
    </row>
    <row r="37" spans="1:6" x14ac:dyDescent="0.25">
      <c r="A37" s="3" t="s">
        <v>113</v>
      </c>
      <c r="B37" s="54">
        <f>SUM(B32:B36)</f>
        <v>8500</v>
      </c>
      <c r="C37" s="54">
        <f t="shared" ref="C37:D37" si="4">SUM(C32:C36)</f>
        <v>16000</v>
      </c>
      <c r="D37" s="54">
        <f t="shared" si="4"/>
        <v>15000</v>
      </c>
    </row>
    <row r="38" spans="1:6" x14ac:dyDescent="0.25">
      <c r="A38" s="3" t="s">
        <v>114</v>
      </c>
      <c r="B38" s="54">
        <f>B30+B31+B37</f>
        <v>50000</v>
      </c>
      <c r="C38" s="54">
        <f t="shared" ref="C38:D38" si="5">C30+C31+C37</f>
        <v>60000</v>
      </c>
      <c r="D38" s="54">
        <f t="shared" si="5"/>
        <v>50000</v>
      </c>
    </row>
    <row r="40" spans="1:6" x14ac:dyDescent="0.25">
      <c r="A40" s="1" t="s">
        <v>115</v>
      </c>
      <c r="B40" s="1"/>
      <c r="C40" s="1"/>
      <c r="D40" s="1"/>
      <c r="E40" s="1"/>
      <c r="F40" s="1"/>
    </row>
    <row r="41" spans="1:6" x14ac:dyDescent="0.25">
      <c r="A41" s="1" t="s">
        <v>170</v>
      </c>
      <c r="B41" s="1"/>
      <c r="C41" s="1"/>
      <c r="D41" s="1"/>
      <c r="E41" s="1"/>
      <c r="F41" s="1"/>
    </row>
    <row r="42" spans="1:6" x14ac:dyDescent="0.25">
      <c r="A42" s="1" t="s">
        <v>232</v>
      </c>
      <c r="B42" s="1"/>
      <c r="C42" s="1"/>
      <c r="D42" s="1"/>
      <c r="E42" s="1"/>
      <c r="F42" s="1"/>
    </row>
    <row r="43" spans="1:6" x14ac:dyDescent="0.25">
      <c r="A43" s="1" t="s">
        <v>116</v>
      </c>
      <c r="B43" s="1"/>
      <c r="C43" s="1"/>
      <c r="D43" s="1"/>
      <c r="E43" s="1"/>
      <c r="F43" s="1"/>
    </row>
    <row r="44" spans="1:6" x14ac:dyDescent="0.25">
      <c r="A44" s="1" t="s">
        <v>117</v>
      </c>
      <c r="B44" s="1"/>
      <c r="C44" s="1"/>
      <c r="D44" s="1"/>
      <c r="E44" s="1"/>
      <c r="F44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6"/>
  <sheetViews>
    <sheetView tabSelected="1" topLeftCell="A8" workbookViewId="0">
      <selection activeCell="A2" sqref="A2"/>
    </sheetView>
  </sheetViews>
  <sheetFormatPr baseColWidth="10" defaultRowHeight="15" x14ac:dyDescent="0.25"/>
  <cols>
    <col min="1" max="1" width="24.42578125" customWidth="1"/>
  </cols>
  <sheetData>
    <row r="1" spans="1:9" x14ac:dyDescent="0.25">
      <c r="A1" s="74" t="s">
        <v>118</v>
      </c>
      <c r="B1" s="59"/>
      <c r="C1" s="59"/>
      <c r="D1" s="59"/>
      <c r="E1" s="59"/>
      <c r="F1" s="59"/>
    </row>
    <row r="2" spans="1:9" x14ac:dyDescent="0.25">
      <c r="A2" s="60" t="s">
        <v>237</v>
      </c>
      <c r="E2" s="61"/>
      <c r="F2" s="76">
        <v>2020</v>
      </c>
    </row>
    <row r="3" spans="1:9" x14ac:dyDescent="0.25">
      <c r="A3" s="60" t="s">
        <v>119</v>
      </c>
    </row>
    <row r="4" spans="1:9" x14ac:dyDescent="0.25">
      <c r="A4" s="62" t="s">
        <v>120</v>
      </c>
      <c r="B4" s="62"/>
      <c r="C4" s="62"/>
      <c r="D4" s="62"/>
      <c r="E4" s="63"/>
      <c r="F4" s="64">
        <f>('Oppgave 6'!B12+'Oppgave 6'!B11)/(('Oppgave 6'!B25+'Oppgave 6'!C25)/2)</f>
        <v>0.10545454545454545</v>
      </c>
    </row>
    <row r="5" spans="1:9" x14ac:dyDescent="0.25">
      <c r="A5" t="s">
        <v>121</v>
      </c>
      <c r="B5" s="65"/>
      <c r="C5" s="66"/>
      <c r="F5" s="1"/>
    </row>
    <row r="6" spans="1:9" x14ac:dyDescent="0.25">
      <c r="F6" s="1"/>
    </row>
    <row r="7" spans="1:9" x14ac:dyDescent="0.25">
      <c r="A7" s="60" t="s">
        <v>122</v>
      </c>
      <c r="F7" s="1"/>
    </row>
    <row r="8" spans="1:9" x14ac:dyDescent="0.25">
      <c r="A8" s="62" t="s">
        <v>120</v>
      </c>
      <c r="B8" s="62"/>
      <c r="C8" s="62"/>
      <c r="D8" s="62"/>
      <c r="E8" s="67"/>
      <c r="F8" s="64">
        <f>('Oppgave 6'!B12+'Oppgave 6'!B11)/'Oppgave 6'!B4</f>
        <v>6.4444444444444443E-2</v>
      </c>
    </row>
    <row r="9" spans="1:9" x14ac:dyDescent="0.25">
      <c r="A9" t="s">
        <v>85</v>
      </c>
      <c r="B9" s="65"/>
      <c r="F9" s="1"/>
    </row>
    <row r="10" spans="1:9" x14ac:dyDescent="0.25">
      <c r="B10" s="66"/>
      <c r="F10" s="1"/>
      <c r="H10" s="68"/>
      <c r="I10" s="68"/>
    </row>
    <row r="11" spans="1:9" x14ac:dyDescent="0.25">
      <c r="A11" s="60" t="s">
        <v>123</v>
      </c>
      <c r="B11" s="66"/>
    </row>
    <row r="12" spans="1:9" x14ac:dyDescent="0.25">
      <c r="A12" s="62" t="s">
        <v>85</v>
      </c>
      <c r="B12" s="66"/>
      <c r="E12" s="69"/>
      <c r="F12" s="70">
        <f>'Oppgave 6'!B4/(('Oppgave 6'!B25+'Oppgave 6'!C25)/2)</f>
        <v>1.6363636363636365</v>
      </c>
    </row>
    <row r="13" spans="1:9" x14ac:dyDescent="0.25">
      <c r="A13" t="s">
        <v>121</v>
      </c>
      <c r="B13" s="71"/>
    </row>
    <row r="15" spans="1:9" x14ac:dyDescent="0.25">
      <c r="A15" s="74" t="s">
        <v>124</v>
      </c>
      <c r="B15" s="59"/>
      <c r="C15" s="59"/>
      <c r="D15" s="59"/>
      <c r="E15" s="59"/>
      <c r="F15" s="59"/>
    </row>
    <row r="17" spans="1:6" x14ac:dyDescent="0.25">
      <c r="A17" t="s">
        <v>125</v>
      </c>
    </row>
    <row r="19" spans="1:6" x14ac:dyDescent="0.25">
      <c r="A19" t="s">
        <v>126</v>
      </c>
    </row>
    <row r="28" spans="1:6" x14ac:dyDescent="0.25">
      <c r="A28" s="74" t="s">
        <v>79</v>
      </c>
      <c r="B28" s="59"/>
      <c r="C28" s="59"/>
      <c r="D28" s="59"/>
      <c r="E28" s="59"/>
      <c r="F28" s="59"/>
    </row>
    <row r="29" spans="1:6" x14ac:dyDescent="0.25">
      <c r="A29" s="60" t="s">
        <v>127</v>
      </c>
    </row>
    <row r="30" spans="1:6" x14ac:dyDescent="0.25">
      <c r="A30" s="62" t="s">
        <v>128</v>
      </c>
      <c r="B30" s="62"/>
      <c r="C30" s="62"/>
      <c r="F30" s="64">
        <f>'Oppgave 6'!B12/(('Oppgave 6'!B30+'Oppgave 6'!C30)/2)</f>
        <v>0.30163934426229511</v>
      </c>
    </row>
    <row r="31" spans="1:6" x14ac:dyDescent="0.25">
      <c r="A31" t="s">
        <v>129</v>
      </c>
      <c r="B31" s="66"/>
    </row>
    <row r="33" spans="1:9" x14ac:dyDescent="0.25">
      <c r="A33" t="s">
        <v>130</v>
      </c>
    </row>
    <row r="34" spans="1:9" x14ac:dyDescent="0.25">
      <c r="A34" t="s">
        <v>131</v>
      </c>
    </row>
    <row r="35" spans="1:9" x14ac:dyDescent="0.25">
      <c r="A35" t="s">
        <v>132</v>
      </c>
    </row>
    <row r="37" spans="1:9" x14ac:dyDescent="0.25">
      <c r="A37" t="s">
        <v>133</v>
      </c>
    </row>
    <row r="38" spans="1:9" x14ac:dyDescent="0.25">
      <c r="A38" t="s">
        <v>171</v>
      </c>
    </row>
    <row r="40" spans="1:9" x14ac:dyDescent="0.25">
      <c r="A40" s="74" t="s">
        <v>134</v>
      </c>
      <c r="B40" s="59"/>
      <c r="C40" s="59"/>
      <c r="D40" s="59"/>
      <c r="E40" s="59"/>
      <c r="F40" s="59"/>
    </row>
    <row r="41" spans="1:9" s="75" customFormat="1" x14ac:dyDescent="0.25">
      <c r="B41" s="75">
        <v>2020</v>
      </c>
      <c r="C41" s="75">
        <v>2019</v>
      </c>
      <c r="D41" s="75">
        <v>2018</v>
      </c>
    </row>
    <row r="42" spans="1:9" x14ac:dyDescent="0.25">
      <c r="A42" s="1" t="s">
        <v>135</v>
      </c>
      <c r="B42" s="72">
        <f>'Oppgave 6'!B24/'Oppgave 6'!B37</f>
        <v>2.3529411764705883</v>
      </c>
      <c r="C42" s="72">
        <f>'Oppgave 6'!C24/'Oppgave 6'!C37</f>
        <v>1.5625</v>
      </c>
      <c r="D42" s="72">
        <f>'Oppgave 6'!D24/'Oppgave 6'!D37</f>
        <v>1.3333333333333333</v>
      </c>
    </row>
    <row r="43" spans="1:9" x14ac:dyDescent="0.25">
      <c r="A43" s="1"/>
      <c r="B43" s="72"/>
      <c r="C43" s="69"/>
      <c r="D43" s="69"/>
    </row>
    <row r="44" spans="1:9" x14ac:dyDescent="0.25">
      <c r="A44" s="1" t="s">
        <v>136</v>
      </c>
      <c r="B44" s="72">
        <f>('Oppgave 6'!B24-'Oppgave 6'!B21)/'Oppgave 6'!B37</f>
        <v>1.411764705882353</v>
      </c>
      <c r="C44" s="72">
        <f>('Oppgave 6'!C24-'Oppgave 6'!C21)/'Oppgave 6'!C37</f>
        <v>0.875</v>
      </c>
      <c r="D44" s="72">
        <f>('Oppgave 6'!D24-'Oppgave 6'!D21)/'Oppgave 6'!D37</f>
        <v>0.73333333333333328</v>
      </c>
    </row>
    <row r="45" spans="1:9" x14ac:dyDescent="0.25">
      <c r="A45" s="1"/>
      <c r="B45" s="1"/>
    </row>
    <row r="46" spans="1:9" x14ac:dyDescent="0.25">
      <c r="A46" s="1" t="s">
        <v>137</v>
      </c>
      <c r="B46" s="73">
        <f>(('Oppgave 6'!B22+'Oppgave 6'!C22)/2)/('Oppgave 6'!B4*1.25)*365</f>
        <v>30.416666666666664</v>
      </c>
      <c r="C46" s="73">
        <f>(('Oppgave 6'!C22+'Oppgave 6'!D22)/2)/('Oppgave 6'!C4*1.25)*365</f>
        <v>41.0625</v>
      </c>
    </row>
    <row r="48" spans="1:9" x14ac:dyDescent="0.25">
      <c r="A48" s="1" t="s">
        <v>138</v>
      </c>
      <c r="B48" s="77">
        <f>'Oppgave 6'!B21+'Oppgave 6'!B5-'Oppgave 6'!C21</f>
        <v>43800</v>
      </c>
      <c r="C48" s="77">
        <f>'Oppgave 6'!C21+'Oppgave 6'!C5-'Oppgave 6'!D21</f>
        <v>46000</v>
      </c>
      <c r="E48" t="s">
        <v>139</v>
      </c>
      <c r="I48" s="1"/>
    </row>
    <row r="50" spans="1:6" x14ac:dyDescent="0.25">
      <c r="A50" s="1" t="s">
        <v>140</v>
      </c>
      <c r="B50" s="73">
        <f>(('Oppgave 6'!B33+'Oppgave 6'!C33)/2)/('Løsning oppgave 6'!B48*1.25)*365</f>
        <v>31.25</v>
      </c>
      <c r="C50" s="73">
        <f>(('Oppgave 6'!C33+'Oppgave 6'!D33)/2)/('Løsning oppgave 6'!C48*1.25)*365</f>
        <v>35.706521739130437</v>
      </c>
    </row>
    <row r="52" spans="1:6" x14ac:dyDescent="0.25">
      <c r="A52" s="74" t="s">
        <v>141</v>
      </c>
      <c r="B52" s="59"/>
      <c r="C52" s="59"/>
      <c r="D52" s="59"/>
      <c r="E52" s="59"/>
      <c r="F52" s="59"/>
    </row>
    <row r="54" spans="1:6" x14ac:dyDescent="0.25">
      <c r="A54" t="s">
        <v>142</v>
      </c>
    </row>
    <row r="55" spans="1:6" x14ac:dyDescent="0.25">
      <c r="A55" t="s">
        <v>143</v>
      </c>
    </row>
    <row r="56" spans="1:6" x14ac:dyDescent="0.25">
      <c r="A56" t="s">
        <v>144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5"/>
  <sheetViews>
    <sheetView workbookViewId="0">
      <selection sqref="A1:C15"/>
    </sheetView>
  </sheetViews>
  <sheetFormatPr baseColWidth="10" defaultRowHeight="15" x14ac:dyDescent="0.25"/>
  <sheetData>
    <row r="1" spans="1:3" x14ac:dyDescent="0.25">
      <c r="A1" s="1"/>
      <c r="B1" s="1" t="s">
        <v>203</v>
      </c>
      <c r="C1" s="1" t="s">
        <v>204</v>
      </c>
    </row>
    <row r="2" spans="1:3" x14ac:dyDescent="0.25">
      <c r="A2" s="1" t="s">
        <v>214</v>
      </c>
      <c r="B2" s="1"/>
      <c r="C2" s="1"/>
    </row>
    <row r="3" spans="1:3" x14ac:dyDescent="0.25">
      <c r="A3" t="s">
        <v>200</v>
      </c>
    </row>
    <row r="4" spans="1:3" x14ac:dyDescent="0.25">
      <c r="A4" t="s">
        <v>207</v>
      </c>
      <c r="B4" s="51">
        <v>8000</v>
      </c>
      <c r="C4" s="51">
        <v>4000</v>
      </c>
    </row>
    <row r="5" spans="1:3" x14ac:dyDescent="0.25">
      <c r="A5" t="s">
        <v>208</v>
      </c>
      <c r="B5" s="51">
        <v>1600</v>
      </c>
      <c r="C5" s="51">
        <v>0</v>
      </c>
    </row>
    <row r="6" spans="1:3" x14ac:dyDescent="0.25">
      <c r="A6" t="s">
        <v>99</v>
      </c>
      <c r="B6" s="51">
        <v>1800</v>
      </c>
      <c r="C6" s="51">
        <v>1900</v>
      </c>
    </row>
    <row r="7" spans="1:3" x14ac:dyDescent="0.25">
      <c r="A7" t="s">
        <v>209</v>
      </c>
      <c r="B7" s="101">
        <v>1700</v>
      </c>
      <c r="C7" s="101">
        <v>1100</v>
      </c>
    </row>
    <row r="8" spans="1:3" x14ac:dyDescent="0.25">
      <c r="A8" s="1" t="s">
        <v>38</v>
      </c>
      <c r="B8" s="120">
        <f>SUM(B4:B7)</f>
        <v>13100</v>
      </c>
      <c r="C8" s="120">
        <f>SUM(C4:C7)</f>
        <v>7000</v>
      </c>
    </row>
    <row r="9" spans="1:3" x14ac:dyDescent="0.25">
      <c r="B9" s="51"/>
      <c r="C9" s="51"/>
    </row>
    <row r="10" spans="1:3" x14ac:dyDescent="0.25">
      <c r="A10" s="1" t="s">
        <v>215</v>
      </c>
      <c r="B10" s="51"/>
      <c r="C10" s="51"/>
    </row>
    <row r="11" spans="1:3" x14ac:dyDescent="0.25">
      <c r="A11" t="s">
        <v>210</v>
      </c>
      <c r="B11" s="51">
        <v>1100</v>
      </c>
      <c r="C11" s="51">
        <v>800</v>
      </c>
    </row>
    <row r="12" spans="1:3" x14ac:dyDescent="0.25">
      <c r="A12" t="s">
        <v>211</v>
      </c>
      <c r="B12" s="51">
        <v>3000</v>
      </c>
      <c r="C12" s="51">
        <v>0</v>
      </c>
    </row>
    <row r="13" spans="1:3" x14ac:dyDescent="0.25">
      <c r="A13" t="s">
        <v>212</v>
      </c>
      <c r="B13" s="51"/>
      <c r="C13" s="51"/>
    </row>
    <row r="14" spans="1:3" x14ac:dyDescent="0.25">
      <c r="A14" t="s">
        <v>213</v>
      </c>
      <c r="B14" s="101">
        <v>9000</v>
      </c>
      <c r="C14" s="101">
        <v>6200</v>
      </c>
    </row>
    <row r="15" spans="1:3" x14ac:dyDescent="0.25">
      <c r="A15" s="1" t="s">
        <v>38</v>
      </c>
      <c r="B15" s="120">
        <f>SUM(B11:B14)</f>
        <v>13100</v>
      </c>
      <c r="C15" s="120">
        <f>SUM(C11:C14)</f>
        <v>7000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4"/>
  <sheetViews>
    <sheetView workbookViewId="0">
      <selection activeCell="L16" sqref="L16"/>
    </sheetView>
  </sheetViews>
  <sheetFormatPr baseColWidth="10" defaultRowHeight="15" x14ac:dyDescent="0.25"/>
  <cols>
    <col min="1" max="1" width="17.28515625" customWidth="1"/>
  </cols>
  <sheetData>
    <row r="1" spans="1:7" x14ac:dyDescent="0.25">
      <c r="E1" t="s">
        <v>194</v>
      </c>
      <c r="F1" t="s">
        <v>195</v>
      </c>
    </row>
    <row r="2" spans="1:7" x14ac:dyDescent="0.25">
      <c r="D2" s="118">
        <v>1</v>
      </c>
      <c r="E2" s="118">
        <v>0.9</v>
      </c>
      <c r="F2" s="118">
        <v>0.1</v>
      </c>
    </row>
    <row r="3" spans="1:7" x14ac:dyDescent="0.25">
      <c r="A3" t="s">
        <v>196</v>
      </c>
      <c r="D3" s="50">
        <f>C20+C21</f>
        <v>800</v>
      </c>
      <c r="E3" s="50">
        <f>$D$3*E2</f>
        <v>720</v>
      </c>
      <c r="F3" s="50">
        <f>$D$3*F2</f>
        <v>80</v>
      </c>
    </row>
    <row r="4" spans="1:7" x14ac:dyDescent="0.25">
      <c r="A4" t="s">
        <v>197</v>
      </c>
      <c r="D4" s="119">
        <v>600</v>
      </c>
      <c r="E4" s="119">
        <f>$D$4*E2</f>
        <v>540</v>
      </c>
      <c r="F4" s="119">
        <f>$D$4*F2</f>
        <v>60</v>
      </c>
    </row>
    <row r="5" spans="1:7" x14ac:dyDescent="0.25">
      <c r="A5" t="s">
        <v>198</v>
      </c>
      <c r="D5" s="50">
        <f>SUM(D3:D4)</f>
        <v>1400</v>
      </c>
      <c r="E5" s="50">
        <f>SUM(E3:E4)</f>
        <v>1260</v>
      </c>
      <c r="F5" s="50">
        <f>SUM(F3:F4)</f>
        <v>140</v>
      </c>
    </row>
    <row r="6" spans="1:7" x14ac:dyDescent="0.25">
      <c r="A6" t="s">
        <v>199</v>
      </c>
      <c r="E6" s="94">
        <v>1600</v>
      </c>
    </row>
    <row r="7" spans="1:7" x14ac:dyDescent="0.25">
      <c r="A7" t="s">
        <v>200</v>
      </c>
      <c r="E7" s="50">
        <f>E6-E5</f>
        <v>340</v>
      </c>
    </row>
    <row r="8" spans="1:7" x14ac:dyDescent="0.25">
      <c r="E8" s="50"/>
    </row>
    <row r="9" spans="1:7" x14ac:dyDescent="0.25">
      <c r="A9" s="1"/>
      <c r="B9" s="1"/>
      <c r="C9" s="1"/>
      <c r="D9" s="1"/>
      <c r="E9" s="166" t="s">
        <v>201</v>
      </c>
      <c r="F9" s="166"/>
      <c r="G9" s="1" t="s">
        <v>202</v>
      </c>
    </row>
    <row r="10" spans="1:7" x14ac:dyDescent="0.25">
      <c r="A10" s="1"/>
      <c r="B10" s="1" t="s">
        <v>203</v>
      </c>
      <c r="C10" s="1" t="s">
        <v>204</v>
      </c>
      <c r="E10" s="1" t="s">
        <v>205</v>
      </c>
      <c r="F10" s="1" t="s">
        <v>206</v>
      </c>
    </row>
    <row r="11" spans="1:7" x14ac:dyDescent="0.25">
      <c r="A11" s="1" t="s">
        <v>214</v>
      </c>
      <c r="B11" s="1"/>
      <c r="C11" s="1"/>
      <c r="E11" s="1"/>
      <c r="F11" s="1"/>
    </row>
    <row r="12" spans="1:7" x14ac:dyDescent="0.25">
      <c r="A12" t="s">
        <v>200</v>
      </c>
      <c r="E12" s="50">
        <f>E7</f>
        <v>340</v>
      </c>
      <c r="G12" s="50">
        <f>B12+C12+E12-F12</f>
        <v>340</v>
      </c>
    </row>
    <row r="13" spans="1:7" x14ac:dyDescent="0.25">
      <c r="A13" t="s">
        <v>207</v>
      </c>
      <c r="B13" s="51">
        <v>8000</v>
      </c>
      <c r="C13" s="51">
        <v>4000</v>
      </c>
      <c r="E13" s="94">
        <f>D4</f>
        <v>600</v>
      </c>
      <c r="G13" s="50">
        <f>B13+C13+E13-F13</f>
        <v>12600</v>
      </c>
    </row>
    <row r="14" spans="1:7" x14ac:dyDescent="0.25">
      <c r="A14" t="s">
        <v>208</v>
      </c>
      <c r="B14" s="51">
        <v>1600</v>
      </c>
      <c r="C14" s="51">
        <v>0</v>
      </c>
      <c r="F14" s="50">
        <f>B14</f>
        <v>1600</v>
      </c>
      <c r="G14" s="50">
        <f>B14+C14+E14-F14</f>
        <v>0</v>
      </c>
    </row>
    <row r="15" spans="1:7" x14ac:dyDescent="0.25">
      <c r="A15" t="s">
        <v>99</v>
      </c>
      <c r="B15" s="51">
        <v>1800</v>
      </c>
      <c r="C15" s="51">
        <v>1900</v>
      </c>
      <c r="G15" s="50">
        <f>B15+C15+E15-F15</f>
        <v>3700</v>
      </c>
    </row>
    <row r="16" spans="1:7" x14ac:dyDescent="0.25">
      <c r="A16" t="s">
        <v>209</v>
      </c>
      <c r="B16" s="101">
        <v>1700</v>
      </c>
      <c r="C16" s="101">
        <v>1100</v>
      </c>
      <c r="G16" s="98">
        <f>B16+C16+E16-F16</f>
        <v>2800</v>
      </c>
    </row>
    <row r="17" spans="1:7" x14ac:dyDescent="0.25">
      <c r="A17" s="1" t="s">
        <v>38</v>
      </c>
      <c r="B17" s="120">
        <f>SUM(B13:B16)</f>
        <v>13100</v>
      </c>
      <c r="C17" s="120">
        <f>SUM(C13:C16)</f>
        <v>7000</v>
      </c>
      <c r="D17" s="96"/>
      <c r="E17" s="96"/>
      <c r="F17" s="96"/>
      <c r="G17" s="121">
        <f>SUM(G12:G16)</f>
        <v>19440</v>
      </c>
    </row>
    <row r="18" spans="1:7" x14ac:dyDescent="0.25">
      <c r="B18" s="51"/>
      <c r="C18" s="51"/>
    </row>
    <row r="19" spans="1:7" x14ac:dyDescent="0.25">
      <c r="A19" s="1" t="s">
        <v>215</v>
      </c>
      <c r="B19" s="51"/>
      <c r="C19" s="51"/>
    </row>
    <row r="20" spans="1:7" x14ac:dyDescent="0.25">
      <c r="A20" t="s">
        <v>210</v>
      </c>
      <c r="B20" s="51">
        <v>1100</v>
      </c>
      <c r="C20" s="51">
        <v>800</v>
      </c>
      <c r="E20" s="50">
        <f>C20</f>
        <v>800</v>
      </c>
      <c r="F20" s="50"/>
      <c r="G20" s="50">
        <f>B20+C20-E20+F20</f>
        <v>1100</v>
      </c>
    </row>
    <row r="21" spans="1:7" x14ac:dyDescent="0.25">
      <c r="A21" t="s">
        <v>211</v>
      </c>
      <c r="B21" s="51">
        <v>3000</v>
      </c>
      <c r="C21" s="51">
        <v>0</v>
      </c>
      <c r="E21" s="50">
        <f>C21</f>
        <v>0</v>
      </c>
      <c r="F21" s="50">
        <f>C21</f>
        <v>0</v>
      </c>
      <c r="G21" s="50">
        <f>B21+C21-E21+F21</f>
        <v>3000</v>
      </c>
    </row>
    <row r="22" spans="1:7" x14ac:dyDescent="0.25">
      <c r="A22" t="s">
        <v>212</v>
      </c>
      <c r="B22" s="51"/>
      <c r="C22" s="51"/>
      <c r="F22" s="50">
        <f>F5</f>
        <v>140</v>
      </c>
      <c r="G22" s="50">
        <f>B22+C22-E22+F22</f>
        <v>140</v>
      </c>
    </row>
    <row r="23" spans="1:7" x14ac:dyDescent="0.25">
      <c r="A23" t="s">
        <v>213</v>
      </c>
      <c r="B23" s="101">
        <v>9000</v>
      </c>
      <c r="C23" s="101">
        <v>6200</v>
      </c>
      <c r="E23" s="39"/>
      <c r="F23" s="39"/>
      <c r="G23" s="98">
        <f>B23+C23-E23+F23</f>
        <v>15200</v>
      </c>
    </row>
    <row r="24" spans="1:7" x14ac:dyDescent="0.25">
      <c r="A24" s="1" t="s">
        <v>38</v>
      </c>
      <c r="B24" s="120">
        <f>SUM(B20:B23)</f>
        <v>13100</v>
      </c>
      <c r="C24" s="120">
        <f>SUM(C20:C23)</f>
        <v>7000</v>
      </c>
      <c r="D24" s="96"/>
      <c r="E24" s="120">
        <f>SUM(E12:E23)</f>
        <v>1740</v>
      </c>
      <c r="F24" s="120">
        <f>SUM(F12:F23)</f>
        <v>1740</v>
      </c>
      <c r="G24" s="121">
        <f>SUM(G20:G23)</f>
        <v>19440</v>
      </c>
    </row>
  </sheetData>
  <mergeCells count="1"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0"/>
  <sheetViews>
    <sheetView topLeftCell="A27" workbookViewId="0">
      <selection activeCell="J42" sqref="J42"/>
    </sheetView>
  </sheetViews>
  <sheetFormatPr baseColWidth="10" defaultRowHeight="15" x14ac:dyDescent="0.25"/>
  <cols>
    <col min="3" max="3" width="14.42578125" bestFit="1" customWidth="1"/>
  </cols>
  <sheetData>
    <row r="2" spans="1:15" x14ac:dyDescent="0.25">
      <c r="A2" s="1" t="s">
        <v>0</v>
      </c>
      <c r="B2" s="1"/>
      <c r="C2" s="1"/>
      <c r="D2" s="1"/>
      <c r="E2" s="1" t="s">
        <v>1</v>
      </c>
      <c r="F2" s="1"/>
      <c r="G2" s="1"/>
    </row>
    <row r="3" spans="1:15" x14ac:dyDescent="0.25">
      <c r="A3" s="1" t="s">
        <v>2</v>
      </c>
      <c r="B3" s="1"/>
      <c r="C3" s="1"/>
      <c r="D3" s="1"/>
      <c r="E3" s="1" t="s">
        <v>3</v>
      </c>
      <c r="F3" s="1"/>
      <c r="G3" s="1"/>
    </row>
    <row r="4" spans="1:15" x14ac:dyDescent="0.25">
      <c r="A4" s="1" t="s">
        <v>4</v>
      </c>
      <c r="B4" s="1"/>
      <c r="C4" s="1"/>
      <c r="D4" s="1"/>
      <c r="E4" s="1" t="s">
        <v>5</v>
      </c>
      <c r="F4" s="1"/>
      <c r="G4" s="1"/>
    </row>
    <row r="8" spans="1:15" x14ac:dyDescent="0.25">
      <c r="A8" s="1" t="s">
        <v>69</v>
      </c>
      <c r="B8" s="1"/>
      <c r="C8" s="1"/>
      <c r="D8" s="1"/>
      <c r="E8" s="1"/>
      <c r="F8" s="1"/>
      <c r="G8" s="1"/>
    </row>
    <row r="9" spans="1:15" x14ac:dyDescent="0.25">
      <c r="A9" s="1" t="s">
        <v>6</v>
      </c>
      <c r="B9" s="1"/>
      <c r="C9" s="1"/>
      <c r="D9" s="1"/>
      <c r="E9" s="1" t="s">
        <v>7</v>
      </c>
      <c r="F9" s="1"/>
      <c r="G9" s="1"/>
    </row>
    <row r="11" spans="1:15" x14ac:dyDescent="0.25">
      <c r="A11" s="2" t="s">
        <v>70</v>
      </c>
      <c r="B11" s="3"/>
      <c r="C11" s="3"/>
      <c r="D11" s="4" t="s">
        <v>60</v>
      </c>
      <c r="E11" s="3"/>
      <c r="F11" s="3" t="s">
        <v>61</v>
      </c>
      <c r="G11" s="5"/>
      <c r="I11" s="1" t="s">
        <v>76</v>
      </c>
    </row>
    <row r="12" spans="1:15" x14ac:dyDescent="0.25">
      <c r="A12" s="6"/>
      <c r="B12" s="7"/>
      <c r="C12" s="7"/>
      <c r="D12" s="8"/>
      <c r="E12" s="7"/>
      <c r="F12" s="7"/>
      <c r="G12" s="9"/>
    </row>
    <row r="13" spans="1:15" x14ac:dyDescent="0.25">
      <c r="A13" s="10" t="s">
        <v>8</v>
      </c>
      <c r="B13" s="11"/>
      <c r="C13" s="12" t="s">
        <v>9</v>
      </c>
      <c r="D13" s="12" t="s">
        <v>10</v>
      </c>
      <c r="E13" s="12" t="s">
        <v>71</v>
      </c>
      <c r="F13" s="10" t="s">
        <v>11</v>
      </c>
      <c r="G13" s="11"/>
      <c r="I13" s="1">
        <v>1920</v>
      </c>
      <c r="J13" s="1" t="s">
        <v>12</v>
      </c>
      <c r="K13" s="1"/>
      <c r="L13" s="1"/>
      <c r="M13" s="1"/>
      <c r="N13" s="13">
        <f>-F25</f>
        <v>-27918</v>
      </c>
      <c r="O13" s="14" t="s">
        <v>13</v>
      </c>
    </row>
    <row r="14" spans="1:15" x14ac:dyDescent="0.25">
      <c r="A14" s="15"/>
      <c r="B14" s="16"/>
      <c r="C14" s="17"/>
      <c r="D14" s="17"/>
      <c r="E14" s="17"/>
      <c r="F14" s="15"/>
      <c r="G14" s="16"/>
      <c r="I14" s="1"/>
      <c r="J14" s="1"/>
      <c r="K14" s="1"/>
      <c r="L14" s="1"/>
      <c r="M14" s="1"/>
      <c r="N14" s="18">
        <f>F22</f>
        <v>-23782</v>
      </c>
      <c r="O14" s="14" t="s">
        <v>14</v>
      </c>
    </row>
    <row r="15" spans="1:15" x14ac:dyDescent="0.25">
      <c r="A15" s="19" t="s">
        <v>62</v>
      </c>
      <c r="B15" s="20"/>
      <c r="C15" s="21">
        <v>70</v>
      </c>
      <c r="D15" s="21">
        <v>100</v>
      </c>
      <c r="E15" s="22">
        <v>37257</v>
      </c>
      <c r="F15" s="19" t="s">
        <v>63</v>
      </c>
      <c r="G15" s="20"/>
      <c r="I15" s="1">
        <v>1950</v>
      </c>
      <c r="J15" s="1" t="s">
        <v>15</v>
      </c>
      <c r="K15" s="1"/>
      <c r="L15" s="1"/>
      <c r="M15" s="1"/>
      <c r="N15" s="18">
        <f>-F22</f>
        <v>23782</v>
      </c>
      <c r="O15" s="23"/>
    </row>
    <row r="16" spans="1:15" x14ac:dyDescent="0.25">
      <c r="A16" s="15"/>
      <c r="G16" s="9"/>
      <c r="I16" s="1">
        <v>2600</v>
      </c>
      <c r="J16" s="1" t="s">
        <v>16</v>
      </c>
      <c r="K16" s="1"/>
      <c r="L16" s="1"/>
      <c r="M16" s="1"/>
      <c r="N16" s="18">
        <f>F22</f>
        <v>-23782</v>
      </c>
      <c r="O16" s="23"/>
    </row>
    <row r="17" spans="1:17" x14ac:dyDescent="0.25">
      <c r="A17" s="12" t="s">
        <v>17</v>
      </c>
      <c r="B17" s="12" t="s">
        <v>18</v>
      </c>
      <c r="C17" s="12" t="s">
        <v>19</v>
      </c>
      <c r="D17" s="10" t="s">
        <v>72</v>
      </c>
      <c r="E17" s="11"/>
      <c r="F17" s="24" t="s">
        <v>20</v>
      </c>
      <c r="G17" s="11"/>
      <c r="I17" s="1">
        <v>2770</v>
      </c>
      <c r="J17" s="1" t="s">
        <v>21</v>
      </c>
      <c r="K17" s="1"/>
      <c r="L17" s="1"/>
      <c r="M17" s="1"/>
      <c r="N17" s="25">
        <f>-N21*14.1/100</f>
        <v>-7289.7</v>
      </c>
      <c r="O17" s="23"/>
    </row>
    <row r="18" spans="1:17" x14ac:dyDescent="0.25">
      <c r="A18" s="21"/>
      <c r="B18" s="21">
        <v>46</v>
      </c>
      <c r="C18" s="49">
        <v>12101545670</v>
      </c>
      <c r="D18" s="21" t="s">
        <v>64</v>
      </c>
      <c r="E18" s="21"/>
      <c r="F18" s="26">
        <v>79054</v>
      </c>
      <c r="G18" s="20"/>
      <c r="I18" s="1">
        <v>2780</v>
      </c>
      <c r="J18" s="1" t="s">
        <v>75</v>
      </c>
      <c r="K18" s="1"/>
      <c r="L18" s="1"/>
      <c r="M18" s="1"/>
      <c r="N18" s="27">
        <f>-N22*14.1/100</f>
        <v>-874.7639999999999</v>
      </c>
      <c r="O18" s="23"/>
    </row>
    <row r="19" spans="1:17" x14ac:dyDescent="0.25">
      <c r="A19" s="12" t="s">
        <v>22</v>
      </c>
      <c r="B19" s="12" t="s">
        <v>23</v>
      </c>
      <c r="C19" s="12" t="s">
        <v>24</v>
      </c>
      <c r="D19" s="12" t="s">
        <v>25</v>
      </c>
      <c r="E19" s="12" t="s">
        <v>26</v>
      </c>
      <c r="F19" s="137" t="s">
        <v>27</v>
      </c>
      <c r="G19" s="138"/>
      <c r="I19" s="1">
        <v>2940</v>
      </c>
      <c r="J19" s="1" t="s">
        <v>28</v>
      </c>
      <c r="K19" s="1"/>
      <c r="L19" s="1"/>
      <c r="M19" s="1"/>
      <c r="N19" s="28">
        <f>-F29</f>
        <v>-6204</v>
      </c>
      <c r="O19" s="23"/>
    </row>
    <row r="20" spans="1:17" x14ac:dyDescent="0.25">
      <c r="A20" s="29"/>
      <c r="B20" s="29"/>
      <c r="C20" s="29"/>
      <c r="D20" s="29" t="s">
        <v>29</v>
      </c>
      <c r="E20" s="29"/>
      <c r="F20" s="139"/>
      <c r="G20" s="140"/>
      <c r="I20" s="1"/>
      <c r="J20" s="1"/>
      <c r="K20" s="1"/>
      <c r="L20" s="1"/>
      <c r="M20" s="1"/>
    </row>
    <row r="21" spans="1:17" x14ac:dyDescent="0.25">
      <c r="A21" s="17">
        <v>3340</v>
      </c>
      <c r="B21" s="17" t="s">
        <v>73</v>
      </c>
      <c r="C21" s="30">
        <v>44501</v>
      </c>
      <c r="D21" s="17"/>
      <c r="E21" s="17"/>
      <c r="F21" s="153">
        <v>51700</v>
      </c>
      <c r="G21" s="154"/>
      <c r="I21" s="1">
        <v>5000</v>
      </c>
      <c r="J21" s="1" t="s">
        <v>30</v>
      </c>
      <c r="K21" s="1"/>
      <c r="L21" s="1"/>
      <c r="M21" s="1"/>
      <c r="N21" s="31">
        <f>F21</f>
        <v>51700</v>
      </c>
      <c r="O21" s="32" t="s">
        <v>31</v>
      </c>
    </row>
    <row r="22" spans="1:17" x14ac:dyDescent="0.25">
      <c r="A22" s="17">
        <v>441</v>
      </c>
      <c r="B22" s="17" t="s">
        <v>32</v>
      </c>
      <c r="C22" s="30">
        <v>44501</v>
      </c>
      <c r="D22" s="17"/>
      <c r="E22" s="17"/>
      <c r="F22" s="155">
        <v>-23782</v>
      </c>
      <c r="G22" s="156"/>
      <c r="I22" s="1">
        <v>5180</v>
      </c>
      <c r="J22" s="1" t="s">
        <v>33</v>
      </c>
      <c r="K22" s="1"/>
      <c r="L22" s="1"/>
      <c r="M22" s="1"/>
      <c r="N22" s="33">
        <f>F29</f>
        <v>6204</v>
      </c>
      <c r="O22" s="32" t="s">
        <v>34</v>
      </c>
    </row>
    <row r="23" spans="1:17" x14ac:dyDescent="0.25">
      <c r="A23" s="17"/>
      <c r="B23" s="17"/>
      <c r="C23" s="17"/>
      <c r="D23" s="17"/>
      <c r="E23" s="17"/>
      <c r="F23" s="157"/>
      <c r="G23" s="158"/>
      <c r="I23" s="1">
        <v>5400</v>
      </c>
      <c r="J23" s="1" t="s">
        <v>35</v>
      </c>
      <c r="K23" s="1"/>
      <c r="L23" s="1"/>
      <c r="M23" s="1"/>
      <c r="N23" s="25">
        <f>-N17</f>
        <v>7289.7</v>
      </c>
      <c r="O23" s="34"/>
    </row>
    <row r="24" spans="1:17" x14ac:dyDescent="0.25">
      <c r="A24" s="21"/>
      <c r="B24" s="21"/>
      <c r="C24" s="21"/>
      <c r="D24" s="21"/>
      <c r="E24" s="21"/>
      <c r="F24" s="159"/>
      <c r="G24" s="160"/>
      <c r="I24" s="1">
        <v>5480</v>
      </c>
      <c r="J24" s="1" t="s">
        <v>36</v>
      </c>
      <c r="K24" s="1"/>
      <c r="L24" s="1"/>
      <c r="M24" s="1"/>
      <c r="N24" s="27">
        <f>-N18</f>
        <v>874.7639999999999</v>
      </c>
      <c r="O24" s="34"/>
    </row>
    <row r="25" spans="1:17" x14ac:dyDescent="0.25">
      <c r="A25" s="2" t="s">
        <v>65</v>
      </c>
      <c r="B25" s="3"/>
      <c r="C25" s="3"/>
      <c r="D25" s="5"/>
      <c r="E25" s="3" t="s">
        <v>37</v>
      </c>
      <c r="F25" s="149">
        <f>F21+F22</f>
        <v>27918</v>
      </c>
      <c r="G25" s="150"/>
      <c r="J25" s="1" t="s">
        <v>38</v>
      </c>
      <c r="K25" s="1"/>
      <c r="L25" s="1"/>
      <c r="M25" s="1"/>
      <c r="N25" s="35">
        <f>SUM(N13:N24)</f>
        <v>-7.503331289626658E-12</v>
      </c>
    </row>
    <row r="26" spans="1:17" x14ac:dyDescent="0.25">
      <c r="A26" s="6"/>
      <c r="B26" s="7"/>
      <c r="C26" s="7"/>
      <c r="D26" s="7"/>
      <c r="E26" s="7"/>
      <c r="F26" s="7"/>
      <c r="G26" s="9"/>
    </row>
    <row r="27" spans="1:17" x14ac:dyDescent="0.25">
      <c r="A27" s="12" t="s">
        <v>39</v>
      </c>
      <c r="B27" s="12" t="s">
        <v>40</v>
      </c>
      <c r="C27" s="12" t="s">
        <v>74</v>
      </c>
      <c r="D27" s="12" t="s">
        <v>41</v>
      </c>
      <c r="E27" s="12" t="s">
        <v>42</v>
      </c>
      <c r="F27" s="137" t="s">
        <v>43</v>
      </c>
      <c r="G27" s="138"/>
    </row>
    <row r="28" spans="1:17" x14ac:dyDescent="0.25">
      <c r="A28" s="29"/>
      <c r="B28" s="29" t="s">
        <v>44</v>
      </c>
      <c r="C28" s="29"/>
      <c r="D28" s="29"/>
      <c r="E28" s="29"/>
      <c r="F28" s="139" t="s">
        <v>45</v>
      </c>
      <c r="G28" s="140"/>
      <c r="J28" s="1" t="s">
        <v>46</v>
      </c>
    </row>
    <row r="29" spans="1:17" x14ac:dyDescent="0.25">
      <c r="A29" s="21"/>
      <c r="B29" s="36">
        <f>F21</f>
        <v>51700</v>
      </c>
      <c r="C29" s="21"/>
      <c r="D29" s="37">
        <f>F22</f>
        <v>-23782</v>
      </c>
      <c r="E29" s="21"/>
      <c r="F29" s="151">
        <f>F21*12/100</f>
        <v>6204</v>
      </c>
      <c r="G29" s="152"/>
    </row>
    <row r="30" spans="1:17" x14ac:dyDescent="0.25">
      <c r="A30" s="12"/>
      <c r="B30" s="12" t="s">
        <v>47</v>
      </c>
      <c r="C30" s="11" t="s">
        <v>48</v>
      </c>
      <c r="D30" s="12" t="s">
        <v>49</v>
      </c>
      <c r="E30" s="12" t="s">
        <v>50</v>
      </c>
      <c r="F30" s="1" t="s">
        <v>51</v>
      </c>
      <c r="G30" s="11"/>
      <c r="J30" t="s">
        <v>52</v>
      </c>
    </row>
    <row r="31" spans="1:17" x14ac:dyDescent="0.25">
      <c r="A31" s="29"/>
      <c r="B31" s="1"/>
      <c r="C31" s="38"/>
      <c r="D31" s="29" t="s">
        <v>53</v>
      </c>
      <c r="E31" s="29" t="s">
        <v>54</v>
      </c>
      <c r="F31" s="1" t="s">
        <v>44</v>
      </c>
      <c r="G31" s="38"/>
      <c r="J31" s="1" t="s">
        <v>169</v>
      </c>
      <c r="K31" s="1"/>
      <c r="L31" s="1"/>
      <c r="M31" s="1"/>
      <c r="N31" s="1"/>
      <c r="O31" s="1"/>
      <c r="P31" s="1"/>
      <c r="Q31" s="1"/>
    </row>
    <row r="32" spans="1:17" x14ac:dyDescent="0.25">
      <c r="A32" s="21"/>
      <c r="B32" s="39"/>
      <c r="C32" s="20"/>
      <c r="D32" s="21"/>
      <c r="E32" s="21"/>
      <c r="F32" s="39"/>
      <c r="G32" s="20"/>
      <c r="J32" s="1"/>
      <c r="K32" s="1"/>
      <c r="L32" s="1"/>
      <c r="M32" s="1"/>
      <c r="N32" s="1"/>
      <c r="O32" s="1"/>
      <c r="P32" s="1"/>
      <c r="Q32" s="1"/>
    </row>
    <row r="33" spans="9:17" x14ac:dyDescent="0.25">
      <c r="J33" s="1" t="s">
        <v>55</v>
      </c>
      <c r="K33" s="1"/>
      <c r="L33" s="1"/>
      <c r="M33" s="1"/>
      <c r="N33" s="1"/>
      <c r="O33" s="1"/>
      <c r="P33" s="1"/>
      <c r="Q33" s="1"/>
    </row>
    <row r="34" spans="9:17" x14ac:dyDescent="0.25">
      <c r="J34" s="1" t="s">
        <v>56</v>
      </c>
      <c r="K34" s="1"/>
      <c r="L34" s="40">
        <v>0.12</v>
      </c>
      <c r="M34" s="1"/>
      <c r="N34" s="1"/>
      <c r="O34" s="1"/>
      <c r="P34" s="1"/>
      <c r="Q34" s="1"/>
    </row>
    <row r="35" spans="9:17" x14ac:dyDescent="0.25">
      <c r="J35" s="1" t="s">
        <v>57</v>
      </c>
      <c r="K35" s="1"/>
      <c r="L35" s="40">
        <v>0.14099999999999999</v>
      </c>
      <c r="M35" s="1"/>
      <c r="N35" s="1"/>
      <c r="O35" s="1"/>
      <c r="P35" s="1"/>
      <c r="Q35" s="1"/>
    </row>
    <row r="36" spans="9:17" x14ac:dyDescent="0.25">
      <c r="J36" s="1"/>
      <c r="K36" s="1"/>
      <c r="L36" s="1"/>
      <c r="M36" s="1"/>
      <c r="N36" s="1"/>
      <c r="O36" s="1"/>
      <c r="P36" s="1"/>
      <c r="Q36" s="1"/>
    </row>
    <row r="37" spans="9:17" x14ac:dyDescent="0.25">
      <c r="J37" s="41" t="s">
        <v>56</v>
      </c>
      <c r="K37" s="41"/>
      <c r="L37" s="42">
        <f>N21*L34</f>
        <v>6204</v>
      </c>
      <c r="M37" s="1"/>
      <c r="N37" s="1"/>
      <c r="O37" s="1"/>
      <c r="P37" s="1"/>
      <c r="Q37" s="1"/>
    </row>
    <row r="38" spans="9:17" x14ac:dyDescent="0.25">
      <c r="J38" s="43" t="s">
        <v>58</v>
      </c>
      <c r="K38" s="43"/>
      <c r="L38" s="43">
        <f>N21*L35</f>
        <v>7289.6999999999989</v>
      </c>
      <c r="M38" s="1"/>
      <c r="N38" s="1" t="s">
        <v>77</v>
      </c>
      <c r="O38" s="1"/>
      <c r="P38" s="1"/>
      <c r="Q38" s="1"/>
    </row>
    <row r="39" spans="9:17" x14ac:dyDescent="0.25">
      <c r="J39" s="1" t="s">
        <v>59</v>
      </c>
      <c r="K39" s="1"/>
      <c r="L39" s="44">
        <f>L37*L35</f>
        <v>874.7639999999999</v>
      </c>
      <c r="M39" s="1"/>
      <c r="N39" s="1"/>
      <c r="O39" s="1"/>
      <c r="P39" s="1"/>
      <c r="Q39" s="1"/>
    </row>
    <row r="41" spans="9:17" x14ac:dyDescent="0.25">
      <c r="I41" s="1" t="s">
        <v>78</v>
      </c>
      <c r="J41" t="s">
        <v>228</v>
      </c>
      <c r="N41" s="50">
        <f>N21+N22+N23+N24</f>
        <v>66068.463999999993</v>
      </c>
    </row>
    <row r="43" spans="9:17" x14ac:dyDescent="0.25">
      <c r="I43" s="1" t="s">
        <v>79</v>
      </c>
      <c r="J43" t="s">
        <v>80</v>
      </c>
    </row>
    <row r="44" spans="9:17" x14ac:dyDescent="0.25">
      <c r="J44" t="s">
        <v>81</v>
      </c>
      <c r="N44" s="51">
        <f>F21/2</f>
        <v>25850</v>
      </c>
    </row>
    <row r="45" spans="9:17" x14ac:dyDescent="0.25">
      <c r="J45" t="s">
        <v>82</v>
      </c>
      <c r="N45" s="50">
        <f>N44</f>
        <v>25850</v>
      </c>
    </row>
    <row r="47" spans="9:17" x14ac:dyDescent="0.25">
      <c r="J47" s="1">
        <v>1920</v>
      </c>
      <c r="K47" s="1" t="s">
        <v>12</v>
      </c>
      <c r="L47" s="1"/>
      <c r="M47" s="1"/>
      <c r="N47" s="1"/>
      <c r="O47" s="52">
        <f>-F21/2</f>
        <v>-25850</v>
      </c>
    </row>
    <row r="48" spans="9:17" x14ac:dyDescent="0.25">
      <c r="J48" s="1"/>
      <c r="K48" s="1"/>
      <c r="L48" s="1"/>
      <c r="M48" s="1"/>
      <c r="N48" s="1"/>
      <c r="O48" s="52">
        <f>O47</f>
        <v>-25850</v>
      </c>
    </row>
    <row r="49" spans="10:15" x14ac:dyDescent="0.25">
      <c r="J49" s="1">
        <v>1950</v>
      </c>
      <c r="K49" s="1" t="s">
        <v>15</v>
      </c>
      <c r="L49" s="1"/>
      <c r="M49" s="1"/>
      <c r="N49" s="1"/>
      <c r="O49" s="52">
        <f>F21/2</f>
        <v>25850</v>
      </c>
    </row>
    <row r="50" spans="10:15" x14ac:dyDescent="0.25">
      <c r="J50" s="1">
        <v>2600</v>
      </c>
      <c r="K50" s="1" t="s">
        <v>16</v>
      </c>
      <c r="L50" s="1"/>
      <c r="M50" s="1"/>
      <c r="N50" s="1"/>
      <c r="O50" s="52">
        <f>O48</f>
        <v>-25850</v>
      </c>
    </row>
  </sheetData>
  <mergeCells count="10">
    <mergeCell ref="F25:G25"/>
    <mergeCell ref="F27:G27"/>
    <mergeCell ref="F28:G28"/>
    <mergeCell ref="F29:G29"/>
    <mergeCell ref="F19:G19"/>
    <mergeCell ref="F20:G20"/>
    <mergeCell ref="F21:G21"/>
    <mergeCell ref="F22:G22"/>
    <mergeCell ref="F23:G23"/>
    <mergeCell ref="F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5" sqref="B5"/>
    </sheetView>
  </sheetViews>
  <sheetFormatPr baseColWidth="10" defaultRowHeight="15" x14ac:dyDescent="0.25"/>
  <cols>
    <col min="1" max="1" width="19.28515625" bestFit="1" customWidth="1"/>
  </cols>
  <sheetData>
    <row r="1" spans="1:2" x14ac:dyDescent="0.25">
      <c r="A1" s="78"/>
      <c r="B1" s="79" t="s">
        <v>145</v>
      </c>
    </row>
    <row r="2" spans="1:2" x14ac:dyDescent="0.25">
      <c r="A2" s="80"/>
      <c r="B2" s="81" t="s">
        <v>146</v>
      </c>
    </row>
    <row r="3" spans="1:2" x14ac:dyDescent="0.25">
      <c r="A3" s="82" t="s">
        <v>147</v>
      </c>
      <c r="B3" s="83">
        <v>15000000</v>
      </c>
    </row>
    <row r="4" spans="1:2" x14ac:dyDescent="0.25">
      <c r="A4" s="82" t="s">
        <v>148</v>
      </c>
      <c r="B4" s="84">
        <v>5800000</v>
      </c>
    </row>
    <row r="5" spans="1:2" x14ac:dyDescent="0.25">
      <c r="A5" s="85" t="s">
        <v>149</v>
      </c>
      <c r="B5" s="86">
        <f>B3-B4</f>
        <v>9200000</v>
      </c>
    </row>
    <row r="6" spans="1:2" x14ac:dyDescent="0.25">
      <c r="A6" s="82"/>
      <c r="B6" s="83"/>
    </row>
    <row r="7" spans="1:2" x14ac:dyDescent="0.25">
      <c r="A7" s="82" t="s">
        <v>150</v>
      </c>
      <c r="B7" s="83">
        <v>900000</v>
      </c>
    </row>
    <row r="8" spans="1:2" x14ac:dyDescent="0.25">
      <c r="A8" s="82" t="s">
        <v>151</v>
      </c>
      <c r="B8" s="87" t="s">
        <v>66</v>
      </c>
    </row>
    <row r="9" spans="1:2" x14ac:dyDescent="0.25">
      <c r="A9" s="88" t="s">
        <v>153</v>
      </c>
      <c r="B9" s="89" t="s">
        <v>66</v>
      </c>
    </row>
    <row r="10" spans="1:2" x14ac:dyDescent="0.25">
      <c r="A10" s="90"/>
      <c r="B10" s="91"/>
    </row>
    <row r="11" spans="1:2" ht="15.75" thickBot="1" x14ac:dyDescent="0.3">
      <c r="A11" s="92" t="s">
        <v>152</v>
      </c>
      <c r="B11" s="93">
        <v>0.02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topLeftCell="A3" workbookViewId="0">
      <selection activeCell="D28" sqref="D28"/>
    </sheetView>
  </sheetViews>
  <sheetFormatPr baseColWidth="10" defaultRowHeight="15" x14ac:dyDescent="0.25"/>
  <cols>
    <col min="2" max="3" width="13.7109375" bestFit="1" customWidth="1"/>
    <col min="4" max="4" width="12.7109375" bestFit="1" customWidth="1"/>
    <col min="5" max="5" width="13.7109375" bestFit="1" customWidth="1"/>
  </cols>
  <sheetData>
    <row r="1" spans="1:5" s="1" customFormat="1" x14ac:dyDescent="0.25">
      <c r="A1" s="1" t="s">
        <v>118</v>
      </c>
    </row>
    <row r="2" spans="1:5" s="1" customFormat="1" x14ac:dyDescent="0.25">
      <c r="A2" s="1" t="s">
        <v>154</v>
      </c>
    </row>
    <row r="3" spans="1:5" x14ac:dyDescent="0.25">
      <c r="B3" t="s">
        <v>155</v>
      </c>
      <c r="C3" t="s">
        <v>156</v>
      </c>
      <c r="D3" t="s">
        <v>88</v>
      </c>
      <c r="E3" t="s">
        <v>157</v>
      </c>
    </row>
    <row r="4" spans="1:5" x14ac:dyDescent="0.25">
      <c r="A4">
        <v>2000</v>
      </c>
      <c r="B4" s="51"/>
      <c r="C4" s="51">
        <f>'Oppgave 2'!B3</f>
        <v>15000000</v>
      </c>
      <c r="D4" s="51">
        <f>(C4*'Oppgave 2'!B11)*4/12</f>
        <v>100000</v>
      </c>
      <c r="E4" s="51">
        <f>C4-D4</f>
        <v>14900000</v>
      </c>
    </row>
    <row r="5" spans="1:5" x14ac:dyDescent="0.25">
      <c r="A5">
        <v>2001</v>
      </c>
      <c r="B5" s="51">
        <f>E4</f>
        <v>14900000</v>
      </c>
      <c r="C5" s="51"/>
      <c r="D5" s="51">
        <f>C4*'Oppgave 2'!B11</f>
        <v>300000</v>
      </c>
      <c r="E5" s="51">
        <f>B5-D5</f>
        <v>14600000</v>
      </c>
    </row>
    <row r="6" spans="1:5" x14ac:dyDescent="0.25">
      <c r="A6">
        <v>2002</v>
      </c>
      <c r="B6" s="51">
        <f>E5-$D$6</f>
        <v>14300000</v>
      </c>
      <c r="C6" s="51"/>
      <c r="D6" s="51">
        <f>$D$5</f>
        <v>300000</v>
      </c>
      <c r="E6" s="51">
        <f>B6-$D$6</f>
        <v>14000000</v>
      </c>
    </row>
    <row r="7" spans="1:5" x14ac:dyDescent="0.25">
      <c r="A7">
        <v>2003</v>
      </c>
      <c r="B7" s="51">
        <f t="shared" ref="B7:B23" si="0">E6-$D$6</f>
        <v>13700000</v>
      </c>
      <c r="C7" s="51"/>
      <c r="D7" s="51">
        <f t="shared" ref="D7:D23" si="1">$D$5</f>
        <v>300000</v>
      </c>
      <c r="E7" s="51">
        <f t="shared" ref="E7:E23" si="2">B7-$D$6</f>
        <v>13400000</v>
      </c>
    </row>
    <row r="8" spans="1:5" x14ac:dyDescent="0.25">
      <c r="A8">
        <v>2004</v>
      </c>
      <c r="B8" s="51">
        <f t="shared" si="0"/>
        <v>13100000</v>
      </c>
      <c r="C8" s="51"/>
      <c r="D8" s="51">
        <f t="shared" si="1"/>
        <v>300000</v>
      </c>
      <c r="E8" s="51">
        <f t="shared" si="2"/>
        <v>12800000</v>
      </c>
    </row>
    <row r="9" spans="1:5" x14ac:dyDescent="0.25">
      <c r="A9">
        <v>2005</v>
      </c>
      <c r="B9" s="51">
        <f t="shared" si="0"/>
        <v>12500000</v>
      </c>
      <c r="C9" s="51"/>
      <c r="D9" s="51">
        <f t="shared" si="1"/>
        <v>300000</v>
      </c>
      <c r="E9" s="51">
        <f t="shared" si="2"/>
        <v>12200000</v>
      </c>
    </row>
    <row r="10" spans="1:5" x14ac:dyDescent="0.25">
      <c r="A10">
        <v>2006</v>
      </c>
      <c r="B10" s="51">
        <f t="shared" si="0"/>
        <v>11900000</v>
      </c>
      <c r="C10" s="51"/>
      <c r="D10" s="51">
        <f t="shared" si="1"/>
        <v>300000</v>
      </c>
      <c r="E10" s="51">
        <f t="shared" si="2"/>
        <v>11600000</v>
      </c>
    </row>
    <row r="11" spans="1:5" x14ac:dyDescent="0.25">
      <c r="A11">
        <v>2007</v>
      </c>
      <c r="B11" s="51">
        <f t="shared" si="0"/>
        <v>11300000</v>
      </c>
      <c r="C11" s="51"/>
      <c r="D11" s="51">
        <f t="shared" si="1"/>
        <v>300000</v>
      </c>
      <c r="E11" s="51">
        <f t="shared" si="2"/>
        <v>11000000</v>
      </c>
    </row>
    <row r="12" spans="1:5" x14ac:dyDescent="0.25">
      <c r="A12">
        <v>2008</v>
      </c>
      <c r="B12" s="51">
        <f t="shared" si="0"/>
        <v>10700000</v>
      </c>
      <c r="C12" s="51"/>
      <c r="D12" s="51">
        <f t="shared" si="1"/>
        <v>300000</v>
      </c>
      <c r="E12" s="51">
        <f t="shared" si="2"/>
        <v>10400000</v>
      </c>
    </row>
    <row r="13" spans="1:5" x14ac:dyDescent="0.25">
      <c r="A13">
        <v>2009</v>
      </c>
      <c r="B13" s="51">
        <f t="shared" si="0"/>
        <v>10100000</v>
      </c>
      <c r="C13" s="51"/>
      <c r="D13" s="51">
        <f t="shared" si="1"/>
        <v>300000</v>
      </c>
      <c r="E13" s="51">
        <f t="shared" si="2"/>
        <v>9800000</v>
      </c>
    </row>
    <row r="14" spans="1:5" x14ac:dyDescent="0.25">
      <c r="A14">
        <v>2010</v>
      </c>
      <c r="B14" s="51">
        <f t="shared" si="0"/>
        <v>9500000</v>
      </c>
      <c r="C14" s="51"/>
      <c r="D14" s="51">
        <f t="shared" si="1"/>
        <v>300000</v>
      </c>
      <c r="E14" s="51">
        <f t="shared" si="2"/>
        <v>9200000</v>
      </c>
    </row>
    <row r="15" spans="1:5" x14ac:dyDescent="0.25">
      <c r="A15">
        <v>2011</v>
      </c>
      <c r="B15" s="51">
        <f t="shared" si="0"/>
        <v>8900000</v>
      </c>
      <c r="C15" s="51"/>
      <c r="D15" s="51">
        <f t="shared" si="1"/>
        <v>300000</v>
      </c>
      <c r="E15" s="51">
        <f t="shared" si="2"/>
        <v>8600000</v>
      </c>
    </row>
    <row r="16" spans="1:5" x14ac:dyDescent="0.25">
      <c r="A16">
        <v>2012</v>
      </c>
      <c r="B16" s="51">
        <f t="shared" si="0"/>
        <v>8300000</v>
      </c>
      <c r="C16" s="51"/>
      <c r="D16" s="51">
        <f t="shared" si="1"/>
        <v>300000</v>
      </c>
      <c r="E16" s="51">
        <f t="shared" si="2"/>
        <v>8000000</v>
      </c>
    </row>
    <row r="17" spans="1:5" x14ac:dyDescent="0.25">
      <c r="A17">
        <v>2013</v>
      </c>
      <c r="B17" s="51">
        <f t="shared" si="0"/>
        <v>7700000</v>
      </c>
      <c r="C17" s="51"/>
      <c r="D17" s="51">
        <f t="shared" si="1"/>
        <v>300000</v>
      </c>
      <c r="E17" s="51">
        <f t="shared" si="2"/>
        <v>7400000</v>
      </c>
    </row>
    <row r="18" spans="1:5" x14ac:dyDescent="0.25">
      <c r="A18">
        <v>2104</v>
      </c>
      <c r="B18" s="51">
        <f t="shared" si="0"/>
        <v>7100000</v>
      </c>
      <c r="C18" s="51"/>
      <c r="D18" s="51">
        <f t="shared" si="1"/>
        <v>300000</v>
      </c>
      <c r="E18" s="51">
        <f t="shared" si="2"/>
        <v>6800000</v>
      </c>
    </row>
    <row r="19" spans="1:5" x14ac:dyDescent="0.25">
      <c r="A19">
        <v>2015</v>
      </c>
      <c r="B19" s="51">
        <f t="shared" si="0"/>
        <v>6500000</v>
      </c>
      <c r="C19" s="51"/>
      <c r="D19" s="51">
        <f t="shared" si="1"/>
        <v>300000</v>
      </c>
      <c r="E19" s="51">
        <f t="shared" si="2"/>
        <v>6200000</v>
      </c>
    </row>
    <row r="20" spans="1:5" x14ac:dyDescent="0.25">
      <c r="A20">
        <v>2016</v>
      </c>
      <c r="B20" s="51">
        <f t="shared" si="0"/>
        <v>5900000</v>
      </c>
      <c r="C20" s="51"/>
      <c r="D20" s="51">
        <f t="shared" si="1"/>
        <v>300000</v>
      </c>
      <c r="E20" s="51">
        <f t="shared" si="2"/>
        <v>5600000</v>
      </c>
    </row>
    <row r="21" spans="1:5" x14ac:dyDescent="0.25">
      <c r="A21">
        <v>2017</v>
      </c>
      <c r="B21" s="51">
        <f t="shared" si="0"/>
        <v>5300000</v>
      </c>
      <c r="C21" s="51"/>
      <c r="D21" s="51">
        <f t="shared" si="1"/>
        <v>300000</v>
      </c>
      <c r="E21" s="51">
        <f t="shared" si="2"/>
        <v>5000000</v>
      </c>
    </row>
    <row r="22" spans="1:5" ht="15.75" thickBot="1" x14ac:dyDescent="0.3">
      <c r="A22">
        <v>2018</v>
      </c>
      <c r="B22" s="51">
        <f t="shared" si="0"/>
        <v>4700000</v>
      </c>
      <c r="C22" s="51"/>
      <c r="D22" s="51">
        <f t="shared" si="1"/>
        <v>300000</v>
      </c>
      <c r="E22" s="51">
        <f t="shared" si="2"/>
        <v>4400000</v>
      </c>
    </row>
    <row r="23" spans="1:5" x14ac:dyDescent="0.25">
      <c r="A23">
        <v>2019</v>
      </c>
      <c r="B23" s="51">
        <f t="shared" si="0"/>
        <v>4100000</v>
      </c>
      <c r="C23" s="51"/>
      <c r="D23" s="95">
        <f t="shared" si="1"/>
        <v>300000</v>
      </c>
      <c r="E23" s="51">
        <f t="shared" si="2"/>
        <v>3800000</v>
      </c>
    </row>
    <row r="24" spans="1:5" x14ac:dyDescent="0.25">
      <c r="B24" s="51"/>
      <c r="C24" s="51"/>
      <c r="D24" s="96">
        <f>SUM(D4:D23)</f>
        <v>5800000</v>
      </c>
      <c r="E24" s="51"/>
    </row>
    <row r="25" spans="1:5" x14ac:dyDescent="0.25">
      <c r="A25" t="s">
        <v>158</v>
      </c>
    </row>
    <row r="26" spans="1:5" x14ac:dyDescent="0.25">
      <c r="A26" t="s">
        <v>159</v>
      </c>
      <c r="D26" s="50">
        <f>D5</f>
        <v>300000</v>
      </c>
    </row>
    <row r="27" spans="1:5" x14ac:dyDescent="0.25">
      <c r="A27" t="s">
        <v>165</v>
      </c>
    </row>
    <row r="28" spans="1:5" x14ac:dyDescent="0.25">
      <c r="A28" t="s">
        <v>229</v>
      </c>
      <c r="D28" s="97">
        <f>D26*19+D26*4/12</f>
        <v>5800000</v>
      </c>
    </row>
    <row r="30" spans="1:5" x14ac:dyDescent="0.25">
      <c r="A30" s="1" t="s">
        <v>124</v>
      </c>
    </row>
    <row r="31" spans="1:5" x14ac:dyDescent="0.25">
      <c r="A31" t="s">
        <v>166</v>
      </c>
      <c r="D31">
        <f>50-20</f>
        <v>30</v>
      </c>
    </row>
    <row r="32" spans="1:5" x14ac:dyDescent="0.25">
      <c r="A32" t="s">
        <v>164</v>
      </c>
      <c r="D32" s="51">
        <f>('Oppgave 2'!B7/'Løsning oppgave 2'!D31)*4/12</f>
        <v>10000</v>
      </c>
    </row>
    <row r="34" spans="1:4" x14ac:dyDescent="0.25">
      <c r="A34" s="1" t="s">
        <v>160</v>
      </c>
      <c r="B34" s="1"/>
      <c r="C34" s="1"/>
      <c r="D34" s="97">
        <f>D26+D32</f>
        <v>310000</v>
      </c>
    </row>
    <row r="36" spans="1:4" x14ac:dyDescent="0.25">
      <c r="A36" s="1" t="s">
        <v>79</v>
      </c>
    </row>
    <row r="37" spans="1:4" x14ac:dyDescent="0.25">
      <c r="A37" t="s">
        <v>167</v>
      </c>
      <c r="D37" s="94">
        <f>'Oppgave 2'!B5</f>
        <v>9200000</v>
      </c>
    </row>
    <row r="38" spans="1:4" x14ac:dyDescent="0.25">
      <c r="A38" t="s">
        <v>161</v>
      </c>
      <c r="D38" s="94">
        <f>'Oppgave 2'!B7</f>
        <v>900000</v>
      </c>
    </row>
    <row r="39" spans="1:4" x14ac:dyDescent="0.25">
      <c r="A39" t="s">
        <v>162</v>
      </c>
      <c r="D39" s="98">
        <f>-D34</f>
        <v>-310000</v>
      </c>
    </row>
    <row r="40" spans="1:4" x14ac:dyDescent="0.25">
      <c r="A40" s="1" t="s">
        <v>163</v>
      </c>
      <c r="B40" s="1"/>
      <c r="C40" s="1"/>
      <c r="D40" s="35">
        <f>SUM(D37:D39)</f>
        <v>9790000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selection activeCell="B7" sqref="B7"/>
    </sheetView>
  </sheetViews>
  <sheetFormatPr baseColWidth="10" defaultRowHeight="15" x14ac:dyDescent="0.25"/>
  <cols>
    <col min="1" max="1" width="19.42578125" bestFit="1" customWidth="1"/>
    <col min="4" max="4" width="12.28515625" bestFit="1" customWidth="1"/>
  </cols>
  <sheetData>
    <row r="1" spans="1:4" s="110" customFormat="1" x14ac:dyDescent="0.25">
      <c r="A1" s="109" t="s">
        <v>188</v>
      </c>
      <c r="B1" s="161" t="s">
        <v>184</v>
      </c>
      <c r="C1" s="162"/>
      <c r="D1" s="109" t="s">
        <v>185</v>
      </c>
    </row>
    <row r="2" spans="1:4" x14ac:dyDescent="0.25">
      <c r="A2" s="105" t="s">
        <v>190</v>
      </c>
      <c r="B2" s="105" t="s">
        <v>186</v>
      </c>
      <c r="C2" s="106">
        <v>15000</v>
      </c>
      <c r="D2" s="107">
        <v>15085</v>
      </c>
    </row>
    <row r="3" spans="1:4" x14ac:dyDescent="0.25">
      <c r="A3" s="48" t="s">
        <v>191</v>
      </c>
      <c r="B3" s="48" t="s">
        <v>187</v>
      </c>
      <c r="C3" s="106">
        <v>4000</v>
      </c>
      <c r="D3" s="108">
        <v>45120</v>
      </c>
    </row>
    <row r="4" spans="1:4" x14ac:dyDescent="0.25">
      <c r="A4" s="163"/>
      <c r="B4" s="164"/>
      <c r="C4" s="165"/>
      <c r="D4" s="104">
        <f>SUM(D2:D3)</f>
        <v>60205</v>
      </c>
    </row>
    <row r="6" spans="1:4" x14ac:dyDescent="0.25">
      <c r="A6" s="1" t="s">
        <v>189</v>
      </c>
    </row>
    <row r="7" spans="1:4" x14ac:dyDescent="0.25">
      <c r="A7" t="s">
        <v>186</v>
      </c>
      <c r="B7">
        <v>104.4</v>
      </c>
    </row>
    <row r="8" spans="1:4" x14ac:dyDescent="0.25">
      <c r="A8" t="s">
        <v>187</v>
      </c>
      <c r="B8">
        <v>10.47</v>
      </c>
    </row>
  </sheetData>
  <mergeCells count="2">
    <mergeCell ref="B1:C1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workbookViewId="0">
      <selection activeCell="H7" sqref="H7"/>
    </sheetView>
  </sheetViews>
  <sheetFormatPr baseColWidth="10" defaultRowHeight="15" x14ac:dyDescent="0.25"/>
  <cols>
    <col min="4" max="4" width="12.42578125" bestFit="1" customWidth="1"/>
  </cols>
  <sheetData>
    <row r="1" spans="1:5" x14ac:dyDescent="0.25">
      <c r="A1" s="1" t="s">
        <v>118</v>
      </c>
    </row>
    <row r="2" spans="1:5" x14ac:dyDescent="0.25">
      <c r="A2" s="109" t="s">
        <v>188</v>
      </c>
      <c r="B2" s="161" t="s">
        <v>184</v>
      </c>
      <c r="C2" s="162"/>
      <c r="D2" s="109" t="s">
        <v>185</v>
      </c>
      <c r="E2" s="12" t="s">
        <v>185</v>
      </c>
    </row>
    <row r="3" spans="1:5" x14ac:dyDescent="0.25">
      <c r="A3" s="111"/>
      <c r="B3" s="112"/>
      <c r="C3" s="113"/>
      <c r="D3" s="111"/>
      <c r="E3" s="114">
        <v>44196</v>
      </c>
    </row>
    <row r="4" spans="1:5" x14ac:dyDescent="0.25">
      <c r="A4" s="105" t="s">
        <v>190</v>
      </c>
      <c r="B4" s="105" t="s">
        <v>186</v>
      </c>
      <c r="C4" s="107">
        <v>15000</v>
      </c>
      <c r="D4" s="107">
        <v>15085</v>
      </c>
      <c r="E4" s="116">
        <f>C4*'Oppgave 3'!B7/100</f>
        <v>15660</v>
      </c>
    </row>
    <row r="5" spans="1:5" x14ac:dyDescent="0.25">
      <c r="A5" s="48" t="s">
        <v>191</v>
      </c>
      <c r="B5" s="48" t="s">
        <v>187</v>
      </c>
      <c r="C5" s="108">
        <v>4000</v>
      </c>
      <c r="D5" s="108">
        <v>45120</v>
      </c>
      <c r="E5" s="117">
        <f>C5*'Oppgave 3'!B8</f>
        <v>41880</v>
      </c>
    </row>
    <row r="6" spans="1:5" x14ac:dyDescent="0.25">
      <c r="A6" s="163"/>
      <c r="B6" s="164"/>
      <c r="C6" s="165"/>
      <c r="D6" s="104">
        <f>SUM(D4:D5)</f>
        <v>60205</v>
      </c>
      <c r="E6" s="115">
        <f>SUM(E4:E5)</f>
        <v>57540</v>
      </c>
    </row>
    <row r="8" spans="1:5" x14ac:dyDescent="0.25">
      <c r="A8" s="1" t="s">
        <v>124</v>
      </c>
    </row>
    <row r="9" spans="1:5" x14ac:dyDescent="0.25">
      <c r="A9" t="s">
        <v>192</v>
      </c>
    </row>
    <row r="10" spans="1:5" x14ac:dyDescent="0.25">
      <c r="A10" t="s">
        <v>193</v>
      </c>
      <c r="E10" s="50">
        <f>D6-E6</f>
        <v>2665</v>
      </c>
    </row>
  </sheetData>
  <mergeCells count="2">
    <mergeCell ref="B2:C2"/>
    <mergeCell ref="A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9"/>
  <sheetViews>
    <sheetView topLeftCell="B1" workbookViewId="0">
      <selection activeCell="F6" sqref="F6"/>
    </sheetView>
  </sheetViews>
  <sheetFormatPr baseColWidth="10" defaultRowHeight="15" x14ac:dyDescent="0.25"/>
  <cols>
    <col min="4" max="4" width="12.7109375" bestFit="1" customWidth="1"/>
  </cols>
  <sheetData>
    <row r="1" spans="2:7" x14ac:dyDescent="0.25">
      <c r="B1" s="122" t="s">
        <v>172</v>
      </c>
      <c r="C1" s="123" t="s">
        <v>173</v>
      </c>
      <c r="D1" s="124" t="s">
        <v>216</v>
      </c>
    </row>
    <row r="2" spans="2:7" x14ac:dyDescent="0.25">
      <c r="B2" s="130" t="s">
        <v>218</v>
      </c>
      <c r="C2" s="106">
        <v>500</v>
      </c>
      <c r="D2" s="125">
        <v>66000</v>
      </c>
    </row>
    <row r="3" spans="2:7" x14ac:dyDescent="0.25">
      <c r="B3" s="130" t="s">
        <v>217</v>
      </c>
      <c r="C3" s="106">
        <v>1500</v>
      </c>
      <c r="D3" s="126">
        <v>210000</v>
      </c>
    </row>
    <row r="4" spans="2:7" ht="15.75" thickBot="1" x14ac:dyDescent="0.3">
      <c r="B4" s="127"/>
      <c r="C4" s="128"/>
      <c r="D4" s="129">
        <f>SUM(D2:D3)</f>
        <v>276000</v>
      </c>
    </row>
    <row r="6" spans="2:7" ht="15.75" x14ac:dyDescent="0.25">
      <c r="B6" s="103" t="s">
        <v>219</v>
      </c>
      <c r="F6">
        <v>140</v>
      </c>
      <c r="G6" t="s">
        <v>221</v>
      </c>
    </row>
    <row r="7" spans="2:7" x14ac:dyDescent="0.25">
      <c r="B7" t="s">
        <v>220</v>
      </c>
      <c r="F7">
        <v>200</v>
      </c>
    </row>
    <row r="9" spans="2:7" x14ac:dyDescent="0.25">
      <c r="B9" t="s">
        <v>222</v>
      </c>
      <c r="F9">
        <v>144</v>
      </c>
      <c r="G9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"/>
  <sheetViews>
    <sheetView workbookViewId="0">
      <selection activeCell="D5" sqref="D5"/>
    </sheetView>
  </sheetViews>
  <sheetFormatPr baseColWidth="10" defaultRowHeight="15" x14ac:dyDescent="0.25"/>
  <cols>
    <col min="3" max="3" width="12.7109375" bestFit="1" customWidth="1"/>
  </cols>
  <sheetData>
    <row r="1" spans="1:4" x14ac:dyDescent="0.25">
      <c r="A1" s="1" t="s">
        <v>118</v>
      </c>
    </row>
    <row r="2" spans="1:4" x14ac:dyDescent="0.25">
      <c r="A2" t="s">
        <v>223</v>
      </c>
      <c r="D2">
        <f>'Oppgave 4'!D4/('Oppgave 4'!C2+'Oppgave 4'!C3)</f>
        <v>138</v>
      </c>
    </row>
    <row r="4" spans="1:4" x14ac:dyDescent="0.25">
      <c r="A4" t="s">
        <v>224</v>
      </c>
      <c r="D4" s="51">
        <f>1000*D2</f>
        <v>138000</v>
      </c>
    </row>
    <row r="5" spans="1:4" x14ac:dyDescent="0.25">
      <c r="A5" t="s">
        <v>225</v>
      </c>
      <c r="D5" s="101">
        <f>1000*'Oppgave 4'!F6-'Oppgave 4'!F7</f>
        <v>139800</v>
      </c>
    </row>
    <row r="6" spans="1:4" ht="15.75" x14ac:dyDescent="0.25">
      <c r="A6" s="131" t="s">
        <v>226</v>
      </c>
      <c r="B6" s="1"/>
      <c r="C6" s="1"/>
      <c r="D6" s="120">
        <f>D5-D4</f>
        <v>1800</v>
      </c>
    </row>
    <row r="8" spans="1:4" x14ac:dyDescent="0.25">
      <c r="A8" s="1" t="s">
        <v>124</v>
      </c>
    </row>
    <row r="9" spans="1:4" x14ac:dyDescent="0.25">
      <c r="A9" t="s">
        <v>227</v>
      </c>
      <c r="D9" s="132">
        <f>('Oppgave 4'!C2+'Oppgave 4'!C3-1000)*'Oppgave 4'!F9</f>
        <v>144000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>
      <selection activeCell="A6" sqref="A6"/>
    </sheetView>
  </sheetViews>
  <sheetFormatPr baseColWidth="10" defaultRowHeight="15" x14ac:dyDescent="0.25"/>
  <cols>
    <col min="1" max="1" width="17.7109375" bestFit="1" customWidth="1"/>
  </cols>
  <sheetData>
    <row r="1" spans="1:4" x14ac:dyDescent="0.25">
      <c r="A1" s="75" t="s">
        <v>172</v>
      </c>
      <c r="B1" s="75" t="s">
        <v>173</v>
      </c>
      <c r="C1" s="75" t="s">
        <v>174</v>
      </c>
      <c r="D1" s="75" t="s">
        <v>38</v>
      </c>
    </row>
    <row r="2" spans="1:4" x14ac:dyDescent="0.25">
      <c r="A2" s="99" t="s">
        <v>230</v>
      </c>
      <c r="B2">
        <v>350</v>
      </c>
      <c r="C2">
        <v>810</v>
      </c>
      <c r="D2" s="51">
        <f>B2*C2</f>
        <v>283500</v>
      </c>
    </row>
    <row r="3" spans="1:4" x14ac:dyDescent="0.25">
      <c r="A3" s="100" t="s">
        <v>233</v>
      </c>
      <c r="B3">
        <v>200</v>
      </c>
      <c r="C3">
        <v>840</v>
      </c>
      <c r="D3" s="51">
        <f t="shared" ref="D3:D5" si="0">B3*C3</f>
        <v>168000</v>
      </c>
    </row>
    <row r="4" spans="1:4" x14ac:dyDescent="0.25">
      <c r="A4" s="100" t="s">
        <v>234</v>
      </c>
      <c r="B4">
        <v>300</v>
      </c>
      <c r="C4">
        <v>860</v>
      </c>
      <c r="D4" s="51">
        <f t="shared" si="0"/>
        <v>258000</v>
      </c>
    </row>
    <row r="5" spans="1:4" x14ac:dyDescent="0.25">
      <c r="A5" s="100" t="s">
        <v>235</v>
      </c>
      <c r="B5">
        <v>400</v>
      </c>
      <c r="C5">
        <v>870</v>
      </c>
      <c r="D5" s="51">
        <f t="shared" si="0"/>
        <v>348000</v>
      </c>
    </row>
    <row r="6" spans="1:4" x14ac:dyDescent="0.25">
      <c r="A6" s="100" t="s">
        <v>236</v>
      </c>
      <c r="B6">
        <v>-450</v>
      </c>
    </row>
    <row r="8" spans="1:4" ht="15.75" x14ac:dyDescent="0.25">
      <c r="A8" s="103" t="s">
        <v>182</v>
      </c>
    </row>
    <row r="9" spans="1:4" x14ac:dyDescent="0.25">
      <c r="A9" t="s">
        <v>183</v>
      </c>
    </row>
    <row r="11" spans="1:4" x14ac:dyDescent="0.25">
      <c r="A11" t="s">
        <v>178</v>
      </c>
      <c r="D11" s="5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Oppgave 1</vt:lpstr>
      <vt:lpstr>Løsning oppgave 1</vt:lpstr>
      <vt:lpstr>Oppgave 2</vt:lpstr>
      <vt:lpstr>Løsning oppgave 2</vt:lpstr>
      <vt:lpstr>Oppgave 3</vt:lpstr>
      <vt:lpstr>Løsning oppgave 3</vt:lpstr>
      <vt:lpstr>Oppgave 4</vt:lpstr>
      <vt:lpstr>Løsning oppgave 4</vt:lpstr>
      <vt:lpstr>Oppgave 5</vt:lpstr>
      <vt:lpstr>Løsning oppgave 5</vt:lpstr>
      <vt:lpstr>Oppgave 6</vt:lpstr>
      <vt:lpstr>Løsning oppgave 6</vt:lpstr>
      <vt:lpstr>Oppgave 7</vt:lpstr>
      <vt:lpstr>Løsning oppgave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Raul Boris Farina Briceno</cp:lastModifiedBy>
  <dcterms:created xsi:type="dcterms:W3CDTF">2021-10-30T12:43:36Z</dcterms:created>
  <dcterms:modified xsi:type="dcterms:W3CDTF">2022-01-24T12:30:09Z</dcterms:modified>
</cp:coreProperties>
</file>