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TUDIE\EKSAMEN\Eksamen Halden\Oppgavesett\Høst 2023\"/>
    </mc:Choice>
  </mc:AlternateContent>
  <xr:revisionPtr revIDLastSave="0" documentId="8_{CBBBC24A-D205-4C39-8522-ABA1ED75805F}" xr6:coauthVersionLast="47" xr6:coauthVersionMax="47" xr10:uidLastSave="{00000000-0000-0000-0000-000000000000}"/>
  <bookViews>
    <workbookView xWindow="29580" yWindow="3330" windowWidth="21600" windowHeight="12645" firstSheet="1" activeTab="4" xr2:uid="{40F8A13E-A7C6-4442-B3E1-B792CD73A51E}"/>
  </bookViews>
  <sheets>
    <sheet name="Oppgave 2" sheetId="1" r:id="rId1"/>
    <sheet name="Oppgave 3" sheetId="2" r:id="rId2"/>
    <sheet name="Oppgave 4" sheetId="3" r:id="rId3"/>
    <sheet name="Oppgave 5" sheetId="4" r:id="rId4"/>
    <sheet name="Oppgave 6" sheetId="5" r:id="rId5"/>
    <sheet name="Oppgave 6c)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6" l="1"/>
  <c r="B9" i="6"/>
  <c r="B20" i="6"/>
  <c r="C33" i="2"/>
  <c r="D33" i="2"/>
  <c r="B33" i="2"/>
  <c r="D51" i="2"/>
  <c r="C51" i="2"/>
  <c r="D50" i="2"/>
  <c r="B45" i="2"/>
  <c r="B51" i="2" s="1"/>
  <c r="D39" i="2"/>
  <c r="C39" i="2"/>
  <c r="B39" i="2"/>
  <c r="E39" i="4"/>
  <c r="E41" i="4" s="1"/>
  <c r="E43" i="4" s="1"/>
  <c r="D39" i="4"/>
  <c r="D41" i="4" s="1"/>
  <c r="D43" i="4" s="1"/>
  <c r="C39" i="4"/>
  <c r="C41" i="4" s="1"/>
  <c r="C43" i="4" s="1"/>
  <c r="B25" i="4"/>
  <c r="B41" i="4" s="1"/>
  <c r="B27" i="5"/>
  <c r="B23" i="5"/>
  <c r="B21" i="5"/>
  <c r="C8" i="5"/>
  <c r="C6" i="5"/>
  <c r="K5" i="5" s="1"/>
  <c r="L5" i="5" s="1"/>
  <c r="L3" i="5"/>
  <c r="F3" i="5"/>
  <c r="K3" i="5"/>
  <c r="C4" i="5"/>
  <c r="E17" i="4"/>
  <c r="E19" i="4" s="1"/>
  <c r="E21" i="4" s="1"/>
  <c r="D17" i="4"/>
  <c r="D19" i="4" s="1"/>
  <c r="D21" i="4" s="1"/>
  <c r="B15" i="6"/>
  <c r="B16" i="6"/>
  <c r="B14" i="6"/>
  <c r="B18" i="6" s="1"/>
  <c r="B3" i="6"/>
  <c r="B18" i="5"/>
  <c r="B14" i="5"/>
  <c r="B12" i="5"/>
  <c r="B4" i="5"/>
  <c r="G4" i="5" s="1"/>
  <c r="B6" i="5"/>
  <c r="I6" i="5"/>
  <c r="I8" i="5"/>
  <c r="H6" i="5"/>
  <c r="I4" i="5"/>
  <c r="H4" i="5"/>
  <c r="B2" i="5"/>
  <c r="B3" i="4"/>
  <c r="B19" i="4" s="1"/>
  <c r="B21" i="4" s="1"/>
  <c r="C17" i="4"/>
  <c r="C19" i="4" s="1"/>
  <c r="C41" i="2" l="1"/>
  <c r="C53" i="2" s="1"/>
  <c r="B41" i="2"/>
  <c r="B53" i="2" s="1"/>
  <c r="B54" i="2" s="1"/>
  <c r="C52" i="2" s="1"/>
  <c r="C54" i="2" s="1"/>
  <c r="D52" i="2" s="1"/>
  <c r="D41" i="2"/>
  <c r="D53" i="2" s="1"/>
  <c r="B43" i="4"/>
  <c r="F43" i="4" s="1"/>
  <c r="F41" i="4"/>
  <c r="B8" i="5"/>
  <c r="G8" i="5" s="1"/>
  <c r="H8" i="5"/>
  <c r="K7" i="5"/>
  <c r="L7" i="5" s="1"/>
  <c r="B5" i="6"/>
  <c r="J3" i="5"/>
  <c r="F5" i="5"/>
  <c r="J5" i="5" s="1"/>
  <c r="G6" i="5"/>
  <c r="C21" i="4"/>
  <c r="F21" i="4" s="1"/>
  <c r="F19" i="4"/>
  <c r="D54" i="2" l="1"/>
  <c r="F7" i="5"/>
  <c r="J7" i="5" s="1"/>
  <c r="B11" i="2"/>
  <c r="C11" i="2"/>
  <c r="D11" i="2"/>
  <c r="D16" i="3" l="1"/>
  <c r="D5" i="3"/>
  <c r="D10" i="3"/>
  <c r="B16" i="3"/>
  <c r="B5" i="3"/>
  <c r="D17" i="3" l="1"/>
  <c r="G13" i="3"/>
  <c r="G15" i="3"/>
  <c r="G14" i="3"/>
  <c r="B17" i="3"/>
  <c r="C23" i="2"/>
  <c r="D23" i="2"/>
  <c r="B23" i="2"/>
  <c r="D22" i="2"/>
  <c r="B17" i="2"/>
  <c r="B13" i="2"/>
  <c r="B25" i="2" s="1"/>
  <c r="B26" i="2" s="1"/>
  <c r="C24" i="2" s="1"/>
  <c r="C13" i="2"/>
  <c r="C25" i="2" s="1"/>
  <c r="C5" i="2"/>
  <c r="D5" i="2"/>
  <c r="D13" i="2" s="1"/>
  <c r="D25" i="2" s="1"/>
  <c r="C26" i="2" l="1"/>
  <c r="D24" i="2" s="1"/>
  <c r="G16" i="3"/>
  <c r="D26" i="2"/>
  <c r="B11" i="1" l="1"/>
  <c r="B12" i="1" s="1"/>
  <c r="B9" i="1"/>
  <c r="B8" i="1"/>
  <c r="B3" i="1"/>
  <c r="B2" i="1"/>
  <c r="B14" i="1" l="1"/>
  <c r="B13" i="1"/>
  <c r="B15" i="1" l="1"/>
</calcChain>
</file>

<file path=xl/sharedStrings.xml><?xml version="1.0" encoding="utf-8"?>
<sst xmlns="http://schemas.openxmlformats.org/spreadsheetml/2006/main" count="175" uniqueCount="103">
  <si>
    <t>Lønn</t>
  </si>
  <si>
    <t>Arb.giveravgift</t>
  </si>
  <si>
    <t>Husleie</t>
  </si>
  <si>
    <t>Strøm</t>
  </si>
  <si>
    <t>Forsikring</t>
  </si>
  <si>
    <t>Nettleie</t>
  </si>
  <si>
    <t>Regnskap</t>
  </si>
  <si>
    <t>Kurs</t>
  </si>
  <si>
    <t>Kost per time</t>
  </si>
  <si>
    <t>Fortjeneste</t>
  </si>
  <si>
    <t>Timespris eks mva</t>
  </si>
  <si>
    <t>Timespris m mva</t>
  </si>
  <si>
    <t>Januar</t>
  </si>
  <si>
    <t>Februar</t>
  </si>
  <si>
    <t>Likviditetsbudsjett i NOK</t>
  </si>
  <si>
    <t xml:space="preserve">Mars </t>
  </si>
  <si>
    <t>Innbetalinger fra drift</t>
  </si>
  <si>
    <t>Salgsinnbetalinger</t>
  </si>
  <si>
    <t>Sum innbetalinger fra drift</t>
  </si>
  <si>
    <t>Utbetalinger fra drift</t>
  </si>
  <si>
    <t>Vareleverandører</t>
  </si>
  <si>
    <t>Driftsutgifter</t>
  </si>
  <si>
    <t>Salgs- og admin. utgifter</t>
  </si>
  <si>
    <t>Sum utbetalinger til drift</t>
  </si>
  <si>
    <t>Likviditetsresultat fra drift</t>
  </si>
  <si>
    <t>Finansielle innbetalinger</t>
  </si>
  <si>
    <t>Innbetaling av ny egenkapital</t>
  </si>
  <si>
    <t>Låneopptak</t>
  </si>
  <si>
    <t>Sum finansielle innbetalinger</t>
  </si>
  <si>
    <t>Finansielle utbetalinger</t>
  </si>
  <si>
    <t xml:space="preserve">Avdrag </t>
  </si>
  <si>
    <t>Investeringsutgifter</t>
  </si>
  <si>
    <t>Renteutgifter</t>
  </si>
  <si>
    <t>Sum finansielle utbetalinger</t>
  </si>
  <si>
    <t>Likviditesresultat fra finans</t>
  </si>
  <si>
    <t xml:space="preserve">IB </t>
  </si>
  <si>
    <t>Innbetalingsoverskudd/-underskudd</t>
  </si>
  <si>
    <t>UB</t>
  </si>
  <si>
    <t>Eiendeler</t>
  </si>
  <si>
    <t>Egenkapital og gjeld</t>
  </si>
  <si>
    <t>Anleggsmidler</t>
  </si>
  <si>
    <t xml:space="preserve">Egenkapital </t>
  </si>
  <si>
    <t>Utstyr</t>
  </si>
  <si>
    <t>Aksjekapital</t>
  </si>
  <si>
    <t>Sum anleggsmidler</t>
  </si>
  <si>
    <t>Sum egenkapital</t>
  </si>
  <si>
    <t>Langsiktig gjeld</t>
  </si>
  <si>
    <t>Sum langsiktig gjeld</t>
  </si>
  <si>
    <t>Kortsiktig gjeld</t>
  </si>
  <si>
    <t>Omløpsmidler</t>
  </si>
  <si>
    <t>Varebeholdning</t>
  </si>
  <si>
    <t>Leverandørgjeld</t>
  </si>
  <si>
    <t>Kundefordringer</t>
  </si>
  <si>
    <t>Bankinnskudd</t>
  </si>
  <si>
    <t>Kassekreditt</t>
  </si>
  <si>
    <t>Sum omløpsmidler</t>
  </si>
  <si>
    <t>Sum kortsiktig gjeld</t>
  </si>
  <si>
    <t>Sum eiendeler</t>
  </si>
  <si>
    <t>Sum egenkapital og gjeld</t>
  </si>
  <si>
    <t>Investeringsutgift</t>
  </si>
  <si>
    <t>Innbetalinger</t>
  </si>
  <si>
    <t>Kontantstrøm</t>
  </si>
  <si>
    <t>Lik grad 1</t>
  </si>
  <si>
    <t>Lik grad 2</t>
  </si>
  <si>
    <t>Arbeidskapital</t>
  </si>
  <si>
    <t>EK%</t>
  </si>
  <si>
    <t>Pantelån</t>
  </si>
  <si>
    <t>Nåverdi kalkulasjonsrente 5%</t>
  </si>
  <si>
    <t>Nåverdi kalkulasjonsrente 16%</t>
  </si>
  <si>
    <t xml:space="preserve">Mengde </t>
  </si>
  <si>
    <t>TK</t>
  </si>
  <si>
    <t>VK</t>
  </si>
  <si>
    <t>FK</t>
  </si>
  <si>
    <t>DK</t>
  </si>
  <si>
    <t>TEK</t>
  </si>
  <si>
    <t>FEK</t>
  </si>
  <si>
    <t>VEK</t>
  </si>
  <si>
    <t>DEK</t>
  </si>
  <si>
    <t>Driftsinntekter</t>
  </si>
  <si>
    <t>Variable kostander</t>
  </si>
  <si>
    <t>Dekningsbidrag</t>
  </si>
  <si>
    <t>Faste kostander</t>
  </si>
  <si>
    <t>Overskudd</t>
  </si>
  <si>
    <t>Dekningsgrad</t>
  </si>
  <si>
    <t>Nullpunktomsetning</t>
  </si>
  <si>
    <t>Antall solgte enheter</t>
  </si>
  <si>
    <t>Pris per enhet</t>
  </si>
  <si>
    <t>kroner</t>
  </si>
  <si>
    <t>stk</t>
  </si>
  <si>
    <t>DB per enhet</t>
  </si>
  <si>
    <t>enheter</t>
  </si>
  <si>
    <t>Service</t>
  </si>
  <si>
    <t>Transport</t>
  </si>
  <si>
    <t>Oppstartkostander</t>
  </si>
  <si>
    <t>Salg</t>
  </si>
  <si>
    <t>TI</t>
  </si>
  <si>
    <t>DI</t>
  </si>
  <si>
    <t>DEI</t>
  </si>
  <si>
    <t>Pris</t>
  </si>
  <si>
    <t>3 timer</t>
  </si>
  <si>
    <t>4 timer</t>
  </si>
  <si>
    <t xml:space="preserve"> 3 timer</t>
  </si>
  <si>
    <t>Sikkerhetsmargin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</si>
</sst>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43" fontId="0" fillId="0" borderId="0" xfId="1" applyFont="1"/>
    <xf numFmtId="43" fontId="2" fillId="0" borderId="0" xfId="1" applyFont="1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Alignment="1"/>
    <xf numFmtId="164" fontId="0" fillId="0" borderId="0" xfId="1" applyNumberFormat="1" applyFont="1" applyAlignment="1">
      <alignment horizontal="left" vertical="top"/>
    </xf>
    <xf numFmtId="0" fontId="3" fillId="0" borderId="0" xfId="0" applyFont="1"/>
    <xf numFmtId="0" fontId="0" fillId="2" borderId="1" xfId="0" applyFill="1" applyBorder="1"/>
    <xf numFmtId="0" fontId="0" fillId="2" borderId="0" xfId="0" applyFill="1"/>
    <xf numFmtId="0" fontId="0" fillId="0" borderId="2" xfId="0" applyBorder="1"/>
    <xf numFmtId="0" fontId="0" fillId="0" borderId="4" xfId="0" applyBorder="1"/>
    <xf numFmtId="164" fontId="0" fillId="0" borderId="1" xfId="1" applyNumberFormat="1" applyFont="1" applyBorder="1"/>
    <xf numFmtId="164" fontId="0" fillId="0" borderId="0" xfId="1" applyNumberFormat="1" applyFont="1" applyBorder="1"/>
    <xf numFmtId="164" fontId="0" fillId="0" borderId="3" xfId="1" applyNumberFormat="1" applyFont="1" applyBorder="1"/>
    <xf numFmtId="164" fontId="0" fillId="0" borderId="2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4" xfId="1" applyNumberFormat="1" applyFont="1" applyBorder="1"/>
    <xf numFmtId="0" fontId="5" fillId="0" borderId="8" xfId="0" applyFont="1" applyBorder="1"/>
    <xf numFmtId="0" fontId="5" fillId="0" borderId="9" xfId="0" applyFont="1" applyBorder="1"/>
    <xf numFmtId="0" fontId="6" fillId="0" borderId="1" xfId="0" applyFont="1" applyBorder="1"/>
    <xf numFmtId="164" fontId="5" fillId="0" borderId="9" xfId="1" applyNumberFormat="1" applyFont="1" applyBorder="1"/>
    <xf numFmtId="0" fontId="5" fillId="0" borderId="1" xfId="0" applyFont="1" applyBorder="1"/>
    <xf numFmtId="164" fontId="5" fillId="0" borderId="9" xfId="0" applyNumberFormat="1" applyFont="1" applyBorder="1"/>
    <xf numFmtId="0" fontId="5" fillId="0" borderId="10" xfId="0" applyFont="1" applyBorder="1"/>
    <xf numFmtId="0" fontId="5" fillId="0" borderId="3" xfId="0" applyFont="1" applyBorder="1"/>
    <xf numFmtId="164" fontId="5" fillId="0" borderId="10" xfId="1" applyNumberFormat="1" applyFont="1" applyBorder="1"/>
    <xf numFmtId="164" fontId="5" fillId="0" borderId="11" xfId="0" applyNumberFormat="1" applyFont="1" applyBorder="1"/>
    <xf numFmtId="164" fontId="5" fillId="0" borderId="10" xfId="0" applyNumberFormat="1" applyFont="1" applyBorder="1"/>
    <xf numFmtId="164" fontId="4" fillId="0" borderId="11" xfId="0" applyNumberFormat="1" applyFont="1" applyBorder="1"/>
    <xf numFmtId="0" fontId="4" fillId="0" borderId="7" xfId="0" applyFont="1" applyBorder="1"/>
    <xf numFmtId="0" fontId="7" fillId="0" borderId="0" xfId="0" applyFont="1"/>
    <xf numFmtId="164" fontId="7" fillId="0" borderId="0" xfId="1" applyNumberFormat="1" applyFont="1" applyBorder="1"/>
    <xf numFmtId="0" fontId="9" fillId="0" borderId="0" xfId="0" applyFont="1"/>
    <xf numFmtId="164" fontId="10" fillId="0" borderId="0" xfId="1" applyNumberFormat="1" applyFont="1" applyBorder="1"/>
    <xf numFmtId="164" fontId="7" fillId="0" borderId="0" xfId="1" applyNumberFormat="1" applyFont="1"/>
    <xf numFmtId="9" fontId="0" fillId="0" borderId="0" xfId="2" applyFont="1"/>
    <xf numFmtId="0" fontId="4" fillId="0" borderId="5" xfId="0" applyFont="1" applyBorder="1"/>
    <xf numFmtId="0" fontId="5" fillId="0" borderId="7" xfId="0" applyFont="1" applyBorder="1"/>
    <xf numFmtId="0" fontId="5" fillId="0" borderId="11" xfId="0" applyFont="1" applyBorder="1"/>
    <xf numFmtId="0" fontId="7" fillId="0" borderId="11" xfId="0" applyFont="1" applyBorder="1"/>
    <xf numFmtId="164" fontId="7" fillId="0" borderId="11" xfId="1" applyNumberFormat="1" applyFont="1" applyBorder="1"/>
    <xf numFmtId="164" fontId="8" fillId="0" borderId="11" xfId="1" applyNumberFormat="1" applyFont="1" applyBorder="1"/>
    <xf numFmtId="0" fontId="9" fillId="0" borderId="11" xfId="0" applyFont="1" applyBorder="1"/>
    <xf numFmtId="164" fontId="10" fillId="0" borderId="11" xfId="1" applyNumberFormat="1" applyFont="1" applyBorder="1"/>
    <xf numFmtId="164" fontId="0" fillId="0" borderId="11" xfId="1" applyNumberFormat="1" applyFont="1" applyBorder="1"/>
    <xf numFmtId="0" fontId="0" fillId="0" borderId="11" xfId="0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164" fontId="0" fillId="0" borderId="1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left" vertical="top"/>
    </xf>
    <xf numFmtId="164" fontId="0" fillId="0" borderId="2" xfId="1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1" applyNumberFormat="1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164" fontId="7" fillId="0" borderId="0" xfId="1" applyNumberFormat="1" applyFont="1" applyBorder="1" applyAlignment="1">
      <alignment horizontal="left" vertical="top"/>
    </xf>
    <xf numFmtId="43" fontId="0" fillId="0" borderId="0" xfId="1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11" fillId="0" borderId="11" xfId="0" applyFont="1" applyBorder="1" applyAlignment="1">
      <alignment horizontal="center"/>
    </xf>
    <xf numFmtId="164" fontId="11" fillId="0" borderId="11" xfId="1" applyNumberFormat="1" applyFont="1" applyBorder="1" applyAlignment="1">
      <alignment horizontal="center"/>
    </xf>
    <xf numFmtId="164" fontId="11" fillId="0" borderId="11" xfId="1" applyNumberFormat="1" applyFont="1" applyBorder="1"/>
    <xf numFmtId="164" fontId="11" fillId="0" borderId="11" xfId="1" applyNumberFormat="1" applyFont="1" applyFill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0" fontId="11" fillId="0" borderId="11" xfId="0" applyFont="1" applyBorder="1"/>
    <xf numFmtId="9" fontId="0" fillId="0" borderId="0" xfId="2" applyFont="1" applyBorder="1" applyAlignment="1">
      <alignment horizontal="center"/>
    </xf>
    <xf numFmtId="10" fontId="0" fillId="0" borderId="0" xfId="2" applyNumberFormat="1" applyFont="1" applyBorder="1" applyAlignment="1">
      <alignment horizontal="left" vertical="top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5104C-CD52-4A7A-B3A6-35A218CB700D}">
  <dimension ref="A1:E15"/>
  <sheetViews>
    <sheetView topLeftCell="A4" workbookViewId="0">
      <selection activeCell="B10" sqref="B10"/>
    </sheetView>
  </sheetViews>
  <sheetFormatPr baseColWidth="10" defaultRowHeight="15" x14ac:dyDescent="0.25"/>
  <cols>
    <col min="1" max="1" width="18" customWidth="1"/>
    <col min="2" max="2" width="12.42578125" bestFit="1" customWidth="1"/>
    <col min="5" max="5" width="14.42578125" bestFit="1" customWidth="1"/>
  </cols>
  <sheetData>
    <row r="1" spans="1:5" x14ac:dyDescent="0.25">
      <c r="E1" s="1"/>
    </row>
    <row r="2" spans="1:5" x14ac:dyDescent="0.25">
      <c r="A2" t="s">
        <v>0</v>
      </c>
      <c r="B2" s="5">
        <f>3*685000</f>
        <v>2055000</v>
      </c>
      <c r="E2" s="2"/>
    </row>
    <row r="3" spans="1:5" x14ac:dyDescent="0.25">
      <c r="A3" t="s">
        <v>1</v>
      </c>
      <c r="B3" s="5">
        <f>B2*0.106</f>
        <v>217830</v>
      </c>
      <c r="E3" s="1"/>
    </row>
    <row r="4" spans="1:5" x14ac:dyDescent="0.25">
      <c r="B4" s="5"/>
      <c r="E4" s="1"/>
    </row>
    <row r="5" spans="1:5" x14ac:dyDescent="0.25">
      <c r="A5" t="s">
        <v>2</v>
      </c>
      <c r="B5" s="6">
        <v>875000</v>
      </c>
      <c r="E5" s="1"/>
    </row>
    <row r="6" spans="1:5" x14ac:dyDescent="0.25">
      <c r="A6" t="s">
        <v>3</v>
      </c>
      <c r="B6" s="6">
        <v>130000</v>
      </c>
    </row>
    <row r="7" spans="1:5" x14ac:dyDescent="0.25">
      <c r="A7" t="s">
        <v>4</v>
      </c>
      <c r="B7" s="5">
        <v>92500</v>
      </c>
    </row>
    <row r="8" spans="1:5" x14ac:dyDescent="0.25">
      <c r="A8" t="s">
        <v>5</v>
      </c>
      <c r="B8" s="5">
        <f>1000*12</f>
        <v>12000</v>
      </c>
    </row>
    <row r="9" spans="1:5" x14ac:dyDescent="0.25">
      <c r="A9" t="s">
        <v>6</v>
      </c>
      <c r="B9" s="5">
        <f>4*11250</f>
        <v>45000</v>
      </c>
    </row>
    <row r="10" spans="1:5" x14ac:dyDescent="0.25">
      <c r="A10" t="s">
        <v>7</v>
      </c>
      <c r="B10" s="5">
        <v>250000</v>
      </c>
    </row>
    <row r="11" spans="1:5" x14ac:dyDescent="0.25">
      <c r="B11" s="5">
        <f>SUM(B2:B10)</f>
        <v>3677330</v>
      </c>
    </row>
    <row r="12" spans="1:5" x14ac:dyDescent="0.25">
      <c r="A12" t="s">
        <v>8</v>
      </c>
      <c r="B12" s="5">
        <f>B11/(3*1380)</f>
        <v>888.24396135265704</v>
      </c>
    </row>
    <row r="13" spans="1:5" x14ac:dyDescent="0.25">
      <c r="A13" t="s">
        <v>9</v>
      </c>
      <c r="B13" s="4">
        <f>B12*0.55</f>
        <v>488.53417874396143</v>
      </c>
    </row>
    <row r="14" spans="1:5" x14ac:dyDescent="0.25">
      <c r="A14" t="s">
        <v>10</v>
      </c>
      <c r="B14" s="4">
        <f>B12+B13</f>
        <v>1376.7781400966185</v>
      </c>
    </row>
    <row r="15" spans="1:5" x14ac:dyDescent="0.25">
      <c r="A15" t="s">
        <v>11</v>
      </c>
      <c r="B15" s="4">
        <f>B14*1.25</f>
        <v>1720.9726751207731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88FEA-35B4-4FD7-AF67-7674219247AB}">
  <dimension ref="A1:G54"/>
  <sheetViews>
    <sheetView topLeftCell="A45" workbookViewId="0">
      <selection activeCell="H54" sqref="H54"/>
    </sheetView>
  </sheetViews>
  <sheetFormatPr baseColWidth="10" defaultRowHeight="15" x14ac:dyDescent="0.25"/>
  <cols>
    <col min="1" max="1" width="33" customWidth="1"/>
    <col min="2" max="2" width="12.42578125" bestFit="1" customWidth="1"/>
    <col min="5" max="5" width="14.42578125" bestFit="1" customWidth="1"/>
  </cols>
  <sheetData>
    <row r="1" spans="1:7" x14ac:dyDescent="0.25">
      <c r="A1" t="s">
        <v>100</v>
      </c>
      <c r="E1" s="1"/>
    </row>
    <row r="2" spans="1:7" ht="15.75" x14ac:dyDescent="0.25">
      <c r="A2" s="7" t="s">
        <v>14</v>
      </c>
      <c r="B2" s="8" t="s">
        <v>12</v>
      </c>
      <c r="C2" s="9" t="s">
        <v>13</v>
      </c>
      <c r="D2" s="9" t="s">
        <v>15</v>
      </c>
      <c r="E2" s="2"/>
    </row>
    <row r="3" spans="1:7" x14ac:dyDescent="0.25">
      <c r="A3" t="s">
        <v>16</v>
      </c>
      <c r="B3" s="12"/>
      <c r="C3" s="3"/>
      <c r="D3" s="3"/>
      <c r="E3" s="1"/>
    </row>
    <row r="4" spans="1:7" x14ac:dyDescent="0.25">
      <c r="A4" s="10" t="s">
        <v>17</v>
      </c>
      <c r="B4" s="14"/>
      <c r="C4" s="15">
        <v>120000</v>
      </c>
      <c r="D4" s="15">
        <v>67000</v>
      </c>
      <c r="E4" s="1"/>
    </row>
    <row r="5" spans="1:7" x14ac:dyDescent="0.25">
      <c r="A5" s="11" t="s">
        <v>18</v>
      </c>
      <c r="B5" s="14"/>
      <c r="C5" s="15">
        <f>SUM(C4)</f>
        <v>120000</v>
      </c>
      <c r="D5" s="15">
        <f>SUM(D4)</f>
        <v>67000</v>
      </c>
      <c r="E5" s="1"/>
    </row>
    <row r="6" spans="1:7" x14ac:dyDescent="0.25">
      <c r="A6" t="s">
        <v>19</v>
      </c>
      <c r="B6" s="12"/>
      <c r="C6" s="3"/>
      <c r="D6" s="3"/>
    </row>
    <row r="7" spans="1:7" x14ac:dyDescent="0.25">
      <c r="A7" t="s">
        <v>20</v>
      </c>
      <c r="B7" s="12">
        <v>85000</v>
      </c>
      <c r="C7" s="3">
        <v>153000</v>
      </c>
      <c r="D7" s="3">
        <v>48000</v>
      </c>
    </row>
    <row r="8" spans="1:7" x14ac:dyDescent="0.25">
      <c r="A8" t="s">
        <v>0</v>
      </c>
      <c r="B8" s="12">
        <v>50000</v>
      </c>
      <c r="C8" s="13">
        <v>50000</v>
      </c>
      <c r="D8" s="13">
        <v>50000</v>
      </c>
    </row>
    <row r="9" spans="1:7" x14ac:dyDescent="0.25">
      <c r="A9" t="s">
        <v>21</v>
      </c>
      <c r="B9" s="12"/>
      <c r="C9" s="13"/>
      <c r="D9" s="13"/>
    </row>
    <row r="10" spans="1:7" x14ac:dyDescent="0.25">
      <c r="A10" s="10" t="s">
        <v>22</v>
      </c>
      <c r="B10" s="14"/>
      <c r="C10" s="15"/>
      <c r="D10" s="15"/>
    </row>
    <row r="11" spans="1:7" x14ac:dyDescent="0.25">
      <c r="A11" s="11" t="s">
        <v>23</v>
      </c>
      <c r="B11" s="14">
        <f>SUM(B7:B10)</f>
        <v>135000</v>
      </c>
      <c r="C11" s="15">
        <f>SUM(C7:C10)</f>
        <v>203000</v>
      </c>
      <c r="D11" s="15">
        <f>SUM(D7:D10)</f>
        <v>98000</v>
      </c>
    </row>
    <row r="12" spans="1:7" x14ac:dyDescent="0.25">
      <c r="B12" s="16"/>
      <c r="C12" s="17"/>
      <c r="D12" s="17"/>
    </row>
    <row r="13" spans="1:7" x14ac:dyDescent="0.25">
      <c r="A13" s="11" t="s">
        <v>24</v>
      </c>
      <c r="B13" s="18">
        <f>B5-B11</f>
        <v>-135000</v>
      </c>
      <c r="C13" s="18">
        <f t="shared" ref="C13:D13" si="0">C5-C11</f>
        <v>-83000</v>
      </c>
      <c r="D13" s="18">
        <f t="shared" si="0"/>
        <v>-31000</v>
      </c>
    </row>
    <row r="14" spans="1:7" x14ac:dyDescent="0.25">
      <c r="A14" t="s">
        <v>25</v>
      </c>
      <c r="B14" s="12"/>
      <c r="C14" s="3"/>
      <c r="D14" s="3"/>
    </row>
    <row r="15" spans="1:7" x14ac:dyDescent="0.25">
      <c r="A15" t="s">
        <v>26</v>
      </c>
      <c r="B15" s="12"/>
      <c r="C15" s="3"/>
      <c r="D15" s="3"/>
    </row>
    <row r="16" spans="1:7" x14ac:dyDescent="0.25">
      <c r="A16" t="s">
        <v>27</v>
      </c>
      <c r="B16" s="12">
        <v>75000</v>
      </c>
      <c r="C16" s="3"/>
      <c r="D16" s="3"/>
      <c r="G16" s="4"/>
    </row>
    <row r="17" spans="1:4" x14ac:dyDescent="0.25">
      <c r="A17" s="11" t="s">
        <v>28</v>
      </c>
      <c r="B17" s="18">
        <f>SUM(B16)</f>
        <v>75000</v>
      </c>
      <c r="C17" s="19"/>
      <c r="D17" s="19"/>
    </row>
    <row r="18" spans="1:4" x14ac:dyDescent="0.25">
      <c r="A18" t="s">
        <v>29</v>
      </c>
      <c r="B18" s="16"/>
      <c r="C18" s="17"/>
      <c r="D18" s="17"/>
    </row>
    <row r="19" spans="1:4" x14ac:dyDescent="0.25">
      <c r="A19" t="s">
        <v>30</v>
      </c>
      <c r="B19" s="12"/>
      <c r="C19" s="3"/>
      <c r="D19" s="3"/>
    </row>
    <row r="20" spans="1:4" x14ac:dyDescent="0.25">
      <c r="A20" t="s">
        <v>31</v>
      </c>
      <c r="B20" s="12"/>
      <c r="C20" s="3"/>
      <c r="D20" s="3"/>
    </row>
    <row r="21" spans="1:4" x14ac:dyDescent="0.25">
      <c r="A21" s="10" t="s">
        <v>32</v>
      </c>
      <c r="B21" s="14"/>
      <c r="C21" s="15"/>
      <c r="D21" s="15">
        <v>8000</v>
      </c>
    </row>
    <row r="22" spans="1:4" x14ac:dyDescent="0.25">
      <c r="A22" s="11" t="s">
        <v>33</v>
      </c>
      <c r="B22" s="18"/>
      <c r="C22" s="19"/>
      <c r="D22" s="19">
        <f>SUM(D21)</f>
        <v>8000</v>
      </c>
    </row>
    <row r="23" spans="1:4" x14ac:dyDescent="0.25">
      <c r="A23" s="11" t="s">
        <v>34</v>
      </c>
      <c r="B23" s="18">
        <f>B17-B22</f>
        <v>75000</v>
      </c>
      <c r="C23" s="19">
        <f t="shared" ref="C23:D23" si="1">C17-C22</f>
        <v>0</v>
      </c>
      <c r="D23" s="19">
        <f t="shared" si="1"/>
        <v>-8000</v>
      </c>
    </row>
    <row r="24" spans="1:4" x14ac:dyDescent="0.25">
      <c r="A24" t="s">
        <v>35</v>
      </c>
      <c r="B24" s="12">
        <v>81000</v>
      </c>
      <c r="C24" s="13">
        <f>B26</f>
        <v>21000</v>
      </c>
      <c r="D24" s="13">
        <f>C26</f>
        <v>-62000</v>
      </c>
    </row>
    <row r="25" spans="1:4" x14ac:dyDescent="0.25">
      <c r="A25" t="s">
        <v>36</v>
      </c>
      <c r="B25" s="12">
        <f>B13+B23</f>
        <v>-60000</v>
      </c>
      <c r="C25" s="13">
        <f t="shared" ref="C25:D25" si="2">C13+C23</f>
        <v>-83000</v>
      </c>
      <c r="D25" s="13">
        <f t="shared" si="2"/>
        <v>-39000</v>
      </c>
    </row>
    <row r="26" spans="1:4" x14ac:dyDescent="0.25">
      <c r="A26" t="s">
        <v>37</v>
      </c>
      <c r="B26" s="12">
        <f>B24+B25</f>
        <v>21000</v>
      </c>
      <c r="C26" s="13">
        <f t="shared" ref="C26:D26" si="3">C24+C25</f>
        <v>-62000</v>
      </c>
      <c r="D26" s="13">
        <f t="shared" si="3"/>
        <v>-101000</v>
      </c>
    </row>
    <row r="29" spans="1:4" x14ac:dyDescent="0.25">
      <c r="A29" t="s">
        <v>101</v>
      </c>
    </row>
    <row r="30" spans="1:4" ht="15.75" x14ac:dyDescent="0.25">
      <c r="A30" s="7" t="s">
        <v>14</v>
      </c>
      <c r="B30" s="8" t="s">
        <v>12</v>
      </c>
      <c r="C30" s="9" t="s">
        <v>13</v>
      </c>
      <c r="D30" s="9" t="s">
        <v>15</v>
      </c>
    </row>
    <row r="31" spans="1:4" x14ac:dyDescent="0.25">
      <c r="A31" t="s">
        <v>16</v>
      </c>
      <c r="B31" s="12"/>
      <c r="C31" s="3"/>
      <c r="D31" s="3"/>
    </row>
    <row r="32" spans="1:4" x14ac:dyDescent="0.25">
      <c r="A32" s="10" t="s">
        <v>17</v>
      </c>
      <c r="B32" s="14">
        <v>120000</v>
      </c>
      <c r="C32" s="15">
        <v>117000</v>
      </c>
      <c r="D32" s="15">
        <v>175000</v>
      </c>
    </row>
    <row r="33" spans="1:4" x14ac:dyDescent="0.25">
      <c r="A33" s="11" t="s">
        <v>18</v>
      </c>
      <c r="B33" s="14">
        <f>SUM(B32)</f>
        <v>120000</v>
      </c>
      <c r="C33" s="14">
        <f t="shared" ref="C33:D33" si="4">SUM(C32)</f>
        <v>117000</v>
      </c>
      <c r="D33" s="14">
        <f t="shared" si="4"/>
        <v>175000</v>
      </c>
    </row>
    <row r="34" spans="1:4" x14ac:dyDescent="0.25">
      <c r="A34" t="s">
        <v>19</v>
      </c>
      <c r="B34" s="12"/>
      <c r="C34" s="3"/>
      <c r="D34" s="3"/>
    </row>
    <row r="35" spans="1:4" x14ac:dyDescent="0.25">
      <c r="A35" t="s">
        <v>20</v>
      </c>
      <c r="B35" s="12">
        <v>85000</v>
      </c>
      <c r="C35" s="3">
        <v>153000</v>
      </c>
      <c r="D35" s="3">
        <v>48000</v>
      </c>
    </row>
    <row r="36" spans="1:4" x14ac:dyDescent="0.25">
      <c r="A36" t="s">
        <v>0</v>
      </c>
      <c r="B36" s="12">
        <v>92000</v>
      </c>
      <c r="C36" s="12">
        <v>92000</v>
      </c>
      <c r="D36" s="12">
        <v>92000</v>
      </c>
    </row>
    <row r="37" spans="1:4" x14ac:dyDescent="0.25">
      <c r="A37" t="s">
        <v>21</v>
      </c>
      <c r="B37" s="12"/>
      <c r="C37" s="13"/>
      <c r="D37" s="13"/>
    </row>
    <row r="38" spans="1:4" x14ac:dyDescent="0.25">
      <c r="A38" s="10" t="s">
        <v>22</v>
      </c>
      <c r="B38" s="14"/>
      <c r="C38" s="15"/>
      <c r="D38" s="15"/>
    </row>
    <row r="39" spans="1:4" x14ac:dyDescent="0.25">
      <c r="A39" s="11" t="s">
        <v>23</v>
      </c>
      <c r="B39" s="14">
        <f>SUM(B35:B38)</f>
        <v>177000</v>
      </c>
      <c r="C39" s="15">
        <f>SUM(C35:C38)</f>
        <v>245000</v>
      </c>
      <c r="D39" s="15">
        <f>SUM(D35:D38)</f>
        <v>140000</v>
      </c>
    </row>
    <row r="40" spans="1:4" x14ac:dyDescent="0.25">
      <c r="B40" s="16"/>
      <c r="C40" s="17"/>
      <c r="D40" s="17"/>
    </row>
    <row r="41" spans="1:4" x14ac:dyDescent="0.25">
      <c r="A41" s="11" t="s">
        <v>24</v>
      </c>
      <c r="B41" s="18">
        <f>B33-B39</f>
        <v>-57000</v>
      </c>
      <c r="C41" s="18">
        <f t="shared" ref="C41:D41" si="5">C33-C39</f>
        <v>-128000</v>
      </c>
      <c r="D41" s="18">
        <f t="shared" si="5"/>
        <v>35000</v>
      </c>
    </row>
    <row r="42" spans="1:4" x14ac:dyDescent="0.25">
      <c r="A42" t="s">
        <v>25</v>
      </c>
      <c r="B42" s="12"/>
      <c r="C42" s="3"/>
      <c r="D42" s="3"/>
    </row>
    <row r="43" spans="1:4" x14ac:dyDescent="0.25">
      <c r="A43" t="s">
        <v>26</v>
      </c>
      <c r="B43" s="12"/>
      <c r="C43" s="3"/>
      <c r="D43" s="3"/>
    </row>
    <row r="44" spans="1:4" x14ac:dyDescent="0.25">
      <c r="A44" t="s">
        <v>27</v>
      </c>
      <c r="B44" s="12">
        <v>75000</v>
      </c>
      <c r="C44" s="3"/>
      <c r="D44" s="3"/>
    </row>
    <row r="45" spans="1:4" x14ac:dyDescent="0.25">
      <c r="A45" s="11" t="s">
        <v>28</v>
      </c>
      <c r="B45" s="18">
        <f>SUM(B44)</f>
        <v>75000</v>
      </c>
      <c r="C45" s="19"/>
      <c r="D45" s="19"/>
    </row>
    <row r="46" spans="1:4" x14ac:dyDescent="0.25">
      <c r="A46" t="s">
        <v>29</v>
      </c>
      <c r="B46" s="16"/>
      <c r="C46" s="17"/>
      <c r="D46" s="17"/>
    </row>
    <row r="47" spans="1:4" x14ac:dyDescent="0.25">
      <c r="A47" t="s">
        <v>30</v>
      </c>
      <c r="B47" s="12"/>
      <c r="C47" s="3"/>
      <c r="D47" s="3"/>
    </row>
    <row r="48" spans="1:4" x14ac:dyDescent="0.25">
      <c r="A48" t="s">
        <v>31</v>
      </c>
      <c r="B48" s="12"/>
      <c r="C48" s="3"/>
      <c r="D48" s="3"/>
    </row>
    <row r="49" spans="1:4" x14ac:dyDescent="0.25">
      <c r="A49" s="10" t="s">
        <v>32</v>
      </c>
      <c r="B49" s="14"/>
      <c r="C49" s="15"/>
      <c r="D49" s="15">
        <v>8000</v>
      </c>
    </row>
    <row r="50" spans="1:4" x14ac:dyDescent="0.25">
      <c r="A50" s="11" t="s">
        <v>33</v>
      </c>
      <c r="B50" s="18"/>
      <c r="C50" s="19"/>
      <c r="D50" s="19">
        <f>SUM(D49)</f>
        <v>8000</v>
      </c>
    </row>
    <row r="51" spans="1:4" x14ac:dyDescent="0.25">
      <c r="A51" s="11" t="s">
        <v>34</v>
      </c>
      <c r="B51" s="18">
        <f>B45-B50</f>
        <v>75000</v>
      </c>
      <c r="C51" s="19">
        <f t="shared" ref="C51:D51" si="6">C45-C50</f>
        <v>0</v>
      </c>
      <c r="D51" s="19">
        <f t="shared" si="6"/>
        <v>-8000</v>
      </c>
    </row>
    <row r="52" spans="1:4" x14ac:dyDescent="0.25">
      <c r="A52" t="s">
        <v>35</v>
      </c>
      <c r="B52" s="12">
        <v>81000</v>
      </c>
      <c r="C52" s="13">
        <f>B54</f>
        <v>99000</v>
      </c>
      <c r="D52" s="13">
        <f>C54</f>
        <v>-29000</v>
      </c>
    </row>
    <row r="53" spans="1:4" x14ac:dyDescent="0.25">
      <c r="A53" t="s">
        <v>36</v>
      </c>
      <c r="B53" s="12">
        <f>B41+B51</f>
        <v>18000</v>
      </c>
      <c r="C53" s="13">
        <f t="shared" ref="C53:D53" si="7">C41+C51</f>
        <v>-128000</v>
      </c>
      <c r="D53" s="13">
        <f t="shared" si="7"/>
        <v>27000</v>
      </c>
    </row>
    <row r="54" spans="1:4" x14ac:dyDescent="0.25">
      <c r="A54" t="s">
        <v>37</v>
      </c>
      <c r="B54" s="12">
        <f>B52+B53</f>
        <v>99000</v>
      </c>
      <c r="C54" s="13">
        <f t="shared" ref="C54:D54" si="8">C52+C53</f>
        <v>-29000</v>
      </c>
      <c r="D54" s="13">
        <f t="shared" si="8"/>
        <v>-2000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C230C-AFED-49CA-B594-659D9132E4E3}">
  <sheetPr>
    <pageSetUpPr fitToPage="1"/>
  </sheetPr>
  <dimension ref="A1:G19"/>
  <sheetViews>
    <sheetView workbookViewId="0">
      <selection activeCell="D37" sqref="D37"/>
    </sheetView>
  </sheetViews>
  <sheetFormatPr baseColWidth="10" defaultRowHeight="15" x14ac:dyDescent="0.25"/>
  <cols>
    <col min="1" max="1" width="17.85546875" customWidth="1"/>
    <col min="2" max="2" width="12.5703125" customWidth="1"/>
    <col min="3" max="3" width="23.42578125" customWidth="1"/>
    <col min="4" max="4" width="28.140625" customWidth="1"/>
    <col min="5" max="5" width="14.42578125" bestFit="1" customWidth="1"/>
    <col min="6" max="6" width="14" customWidth="1"/>
    <col min="7" max="7" width="11.28515625" bestFit="1" customWidth="1"/>
  </cols>
  <sheetData>
    <row r="1" spans="1:7" ht="15.75" x14ac:dyDescent="0.25">
      <c r="A1" s="39" t="s">
        <v>38</v>
      </c>
      <c r="B1" s="20"/>
      <c r="C1" s="39" t="s">
        <v>39</v>
      </c>
      <c r="D1" s="20"/>
    </row>
    <row r="2" spans="1:7" x14ac:dyDescent="0.25">
      <c r="A2" s="22" t="s">
        <v>40</v>
      </c>
      <c r="B2" s="21"/>
      <c r="C2" s="22" t="s">
        <v>41</v>
      </c>
      <c r="D2" s="21"/>
    </row>
    <row r="3" spans="1:7" x14ac:dyDescent="0.25">
      <c r="A3" s="24" t="s">
        <v>42</v>
      </c>
      <c r="B3" s="23">
        <v>200000</v>
      </c>
      <c r="C3" s="24" t="s">
        <v>43</v>
      </c>
      <c r="D3" s="25">
        <v>120000</v>
      </c>
    </row>
    <row r="4" spans="1:7" x14ac:dyDescent="0.25">
      <c r="A4" s="27"/>
      <c r="B4" s="26"/>
      <c r="C4" s="27"/>
      <c r="D4" s="26"/>
    </row>
    <row r="5" spans="1:7" x14ac:dyDescent="0.25">
      <c r="A5" s="24" t="s">
        <v>44</v>
      </c>
      <c r="B5" s="25">
        <f>SUM(B3:B4)</f>
        <v>200000</v>
      </c>
      <c r="C5" s="24" t="s">
        <v>45</v>
      </c>
      <c r="D5" s="25">
        <f>SUM(D3:D4)</f>
        <v>120000</v>
      </c>
    </row>
    <row r="6" spans="1:7" x14ac:dyDescent="0.25">
      <c r="A6" s="24"/>
      <c r="B6" s="21"/>
      <c r="C6" s="24"/>
      <c r="D6" s="21"/>
    </row>
    <row r="7" spans="1:7" x14ac:dyDescent="0.25">
      <c r="A7" s="24"/>
      <c r="B7" s="21"/>
      <c r="C7" s="22" t="s">
        <v>46</v>
      </c>
      <c r="D7" s="21"/>
    </row>
    <row r="8" spans="1:7" x14ac:dyDescent="0.25">
      <c r="A8" s="24"/>
      <c r="B8" s="21"/>
      <c r="C8" s="24" t="s">
        <v>66</v>
      </c>
      <c r="D8" s="23">
        <v>160000</v>
      </c>
      <c r="F8" s="4"/>
    </row>
    <row r="9" spans="1:7" x14ac:dyDescent="0.25">
      <c r="A9" s="24"/>
      <c r="B9" s="21"/>
      <c r="C9" s="27"/>
      <c r="D9" s="28"/>
      <c r="F9" s="4"/>
    </row>
    <row r="10" spans="1:7" x14ac:dyDescent="0.25">
      <c r="A10" s="24"/>
      <c r="B10" s="21"/>
      <c r="C10" s="24" t="s">
        <v>47</v>
      </c>
      <c r="D10" s="23">
        <f>SUM(D8:D9)</f>
        <v>160000</v>
      </c>
      <c r="F10" s="4"/>
      <c r="G10" s="4"/>
    </row>
    <row r="11" spans="1:7" x14ac:dyDescent="0.25">
      <c r="A11" s="24"/>
      <c r="B11" s="21"/>
      <c r="C11" s="24"/>
      <c r="D11" s="21"/>
    </row>
    <row r="12" spans="1:7" x14ac:dyDescent="0.25">
      <c r="A12" s="22" t="s">
        <v>49</v>
      </c>
      <c r="B12" s="23"/>
      <c r="C12" s="22" t="s">
        <v>48</v>
      </c>
      <c r="D12" s="23"/>
    </row>
    <row r="13" spans="1:7" x14ac:dyDescent="0.25">
      <c r="A13" s="24" t="s">
        <v>50</v>
      </c>
      <c r="B13" s="23">
        <v>167000</v>
      </c>
      <c r="C13" s="24" t="s">
        <v>51</v>
      </c>
      <c r="D13" s="23">
        <v>260000</v>
      </c>
      <c r="F13" t="s">
        <v>62</v>
      </c>
      <c r="G13" s="1">
        <f>B16/D16</f>
        <v>1.2952029520295203</v>
      </c>
    </row>
    <row r="14" spans="1:7" x14ac:dyDescent="0.25">
      <c r="A14" s="24" t="s">
        <v>52</v>
      </c>
      <c r="B14" s="23">
        <v>109000</v>
      </c>
      <c r="C14" s="24"/>
      <c r="D14" s="23"/>
      <c r="F14" t="s">
        <v>63</v>
      </c>
      <c r="G14" s="1">
        <f>(B16-B13)/D16</f>
        <v>0.6789667896678967</v>
      </c>
    </row>
    <row r="15" spans="1:7" x14ac:dyDescent="0.25">
      <c r="A15" s="27" t="s">
        <v>53</v>
      </c>
      <c r="B15" s="28">
        <v>75000</v>
      </c>
      <c r="C15" s="27" t="s">
        <v>54</v>
      </c>
      <c r="D15" s="28">
        <v>11000</v>
      </c>
      <c r="F15" t="s">
        <v>64</v>
      </c>
      <c r="G15" s="4">
        <f>B16-D16</f>
        <v>80000</v>
      </c>
    </row>
    <row r="16" spans="1:7" x14ac:dyDescent="0.25">
      <c r="A16" s="40" t="s">
        <v>55</v>
      </c>
      <c r="B16" s="29">
        <f>B13+B14+B15</f>
        <v>351000</v>
      </c>
      <c r="C16" s="27" t="s">
        <v>56</v>
      </c>
      <c r="D16" s="30">
        <f>SUM(D13:D15)</f>
        <v>271000</v>
      </c>
      <c r="F16" t="s">
        <v>65</v>
      </c>
      <c r="G16" s="38">
        <f>D5/D17</f>
        <v>0.21778584392014519</v>
      </c>
    </row>
    <row r="17" spans="1:6" ht="15.75" x14ac:dyDescent="0.25">
      <c r="A17" s="32" t="s">
        <v>57</v>
      </c>
      <c r="B17" s="31">
        <f>B5+B16</f>
        <v>551000</v>
      </c>
      <c r="C17" s="32" t="s">
        <v>58</v>
      </c>
      <c r="D17" s="31">
        <f>D5+D10+D16</f>
        <v>551000</v>
      </c>
    </row>
    <row r="19" spans="1:6" x14ac:dyDescent="0.25">
      <c r="D19" s="4"/>
      <c r="F19" s="4"/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5EA0-F350-462F-9A33-3D8AE28FE22C}">
  <sheetPr>
    <pageSetUpPr fitToPage="1"/>
  </sheetPr>
  <dimension ref="A1:G43"/>
  <sheetViews>
    <sheetView workbookViewId="0">
      <selection activeCell="I37" sqref="I37"/>
    </sheetView>
  </sheetViews>
  <sheetFormatPr baseColWidth="10" defaultRowHeight="15" x14ac:dyDescent="0.25"/>
  <cols>
    <col min="1" max="1" width="25.5703125" customWidth="1"/>
    <col min="2" max="2" width="12.5703125" customWidth="1"/>
    <col min="3" max="3" width="13.42578125" customWidth="1"/>
    <col min="4" max="4" width="17.7109375" customWidth="1"/>
    <col min="5" max="5" width="14.7109375" customWidth="1"/>
  </cols>
  <sheetData>
    <row r="1" spans="1:7" x14ac:dyDescent="0.25">
      <c r="A1" t="s">
        <v>100</v>
      </c>
    </row>
    <row r="2" spans="1:7" x14ac:dyDescent="0.25">
      <c r="A2" s="41"/>
      <c r="B2" s="42">
        <v>0</v>
      </c>
      <c r="C2" s="42">
        <v>1</v>
      </c>
      <c r="D2" s="43">
        <v>2</v>
      </c>
      <c r="E2" s="42">
        <v>3</v>
      </c>
    </row>
    <row r="3" spans="1:7" x14ac:dyDescent="0.25">
      <c r="A3" s="42" t="s">
        <v>59</v>
      </c>
      <c r="B3" s="43">
        <f>-3100000</f>
        <v>-3100000</v>
      </c>
      <c r="C3" s="43"/>
      <c r="D3" s="43"/>
      <c r="E3" s="43"/>
    </row>
    <row r="4" spans="1:7" x14ac:dyDescent="0.25">
      <c r="A4" s="42"/>
      <c r="B4" s="43"/>
      <c r="C4" s="43"/>
      <c r="D4" s="43"/>
      <c r="E4" s="43"/>
    </row>
    <row r="5" spans="1:7" x14ac:dyDescent="0.25">
      <c r="A5" s="42" t="s">
        <v>92</v>
      </c>
      <c r="B5" s="43">
        <v>-264000</v>
      </c>
      <c r="C5" s="43"/>
      <c r="D5" s="43"/>
      <c r="E5" s="43"/>
      <c r="G5" s="4"/>
    </row>
    <row r="6" spans="1:7" x14ac:dyDescent="0.25">
      <c r="A6" s="42"/>
      <c r="B6" s="43"/>
      <c r="C6" s="43"/>
      <c r="D6" s="43"/>
      <c r="E6" s="43"/>
    </row>
    <row r="7" spans="1:7" x14ac:dyDescent="0.25">
      <c r="A7" s="42" t="s">
        <v>93</v>
      </c>
      <c r="B7" s="43">
        <v>-323000</v>
      </c>
      <c r="C7" s="43"/>
      <c r="D7" s="43"/>
      <c r="E7" s="43"/>
    </row>
    <row r="8" spans="1:7" x14ac:dyDescent="0.25">
      <c r="A8" s="42"/>
      <c r="B8" s="44"/>
      <c r="C8" s="43"/>
      <c r="D8" s="43"/>
      <c r="E8" s="43"/>
      <c r="G8" s="4"/>
    </row>
    <row r="9" spans="1:7" x14ac:dyDescent="0.25">
      <c r="A9" s="42" t="s">
        <v>60</v>
      </c>
      <c r="B9" s="43"/>
      <c r="C9" s="43">
        <v>1500000</v>
      </c>
      <c r="D9" s="43">
        <v>1950000</v>
      </c>
      <c r="E9" s="43">
        <v>2500000</v>
      </c>
    </row>
    <row r="10" spans="1:7" x14ac:dyDescent="0.25">
      <c r="A10" s="42"/>
      <c r="B10" s="43"/>
      <c r="C10" s="43"/>
      <c r="D10" s="43"/>
      <c r="E10" s="43"/>
    </row>
    <row r="11" spans="1:7" x14ac:dyDescent="0.25">
      <c r="A11" s="42" t="s">
        <v>81</v>
      </c>
      <c r="B11" s="43"/>
      <c r="C11" s="43">
        <v>600000</v>
      </c>
      <c r="D11" s="43">
        <v>630000</v>
      </c>
      <c r="E11" s="43">
        <v>1150000</v>
      </c>
    </row>
    <row r="12" spans="1:7" x14ac:dyDescent="0.25">
      <c r="A12" s="42"/>
      <c r="B12" s="43"/>
      <c r="C12" s="43"/>
      <c r="D12" s="43"/>
      <c r="E12" s="43"/>
    </row>
    <row r="13" spans="1:7" x14ac:dyDescent="0.25">
      <c r="A13" s="42" t="s">
        <v>91</v>
      </c>
      <c r="B13" s="43"/>
      <c r="C13" s="43"/>
      <c r="D13" s="43">
        <v>287000</v>
      </c>
      <c r="E13" s="43"/>
    </row>
    <row r="14" spans="1:7" x14ac:dyDescent="0.25">
      <c r="A14" s="42"/>
      <c r="B14" s="43"/>
      <c r="C14" s="43"/>
      <c r="D14" s="43"/>
      <c r="E14" s="43"/>
    </row>
    <row r="15" spans="1:7" x14ac:dyDescent="0.25">
      <c r="A15" s="42" t="s">
        <v>94</v>
      </c>
      <c r="B15" s="43"/>
      <c r="C15" s="43"/>
      <c r="D15" s="43"/>
      <c r="E15" s="43">
        <v>1350000</v>
      </c>
    </row>
    <row r="16" spans="1:7" x14ac:dyDescent="0.25">
      <c r="A16" s="42"/>
      <c r="B16" s="43"/>
      <c r="C16" s="43"/>
      <c r="D16" s="43"/>
      <c r="E16" s="43"/>
    </row>
    <row r="17" spans="1:6" x14ac:dyDescent="0.25">
      <c r="A17" s="42" t="s">
        <v>61</v>
      </c>
      <c r="B17" s="43"/>
      <c r="C17" s="43">
        <f>C9-C11</f>
        <v>900000</v>
      </c>
      <c r="D17" s="43">
        <f>D9-D11-D13</f>
        <v>1033000</v>
      </c>
      <c r="E17" s="43">
        <f>E9-E11+E15</f>
        <v>2700000</v>
      </c>
    </row>
    <row r="18" spans="1:6" ht="15.75" x14ac:dyDescent="0.25">
      <c r="A18" s="45"/>
      <c r="B18" s="46"/>
      <c r="C18" s="46"/>
      <c r="D18" s="46"/>
      <c r="E18" s="43"/>
    </row>
    <row r="19" spans="1:6" x14ac:dyDescent="0.25">
      <c r="A19" s="42" t="s">
        <v>67</v>
      </c>
      <c r="B19" s="43">
        <f>SUM(B3:B18)</f>
        <v>-3687000</v>
      </c>
      <c r="C19" s="43">
        <f>C17/(1.05)</f>
        <v>857142.85714285716</v>
      </c>
      <c r="D19" s="43">
        <f>D17/(1.05^2)</f>
        <v>936961.45124716545</v>
      </c>
      <c r="E19" s="43">
        <f>E17/(1.05^3)</f>
        <v>2332361.516034985</v>
      </c>
      <c r="F19" s="4">
        <f>SUM(B19:E19)</f>
        <v>439465.82442500768</v>
      </c>
    </row>
    <row r="20" spans="1:6" x14ac:dyDescent="0.25">
      <c r="A20" s="42"/>
      <c r="B20" s="43"/>
      <c r="C20" s="43"/>
      <c r="D20" s="43"/>
      <c r="E20" s="47"/>
    </row>
    <row r="21" spans="1:6" x14ac:dyDescent="0.25">
      <c r="A21" s="42" t="s">
        <v>68</v>
      </c>
      <c r="B21" s="43">
        <f>SUM(B9:B20)</f>
        <v>-3687000</v>
      </c>
      <c r="C21" s="43">
        <f>C19/(1.16)</f>
        <v>738916.25615763548</v>
      </c>
      <c r="D21" s="43">
        <f>D19/(1.16^2)</f>
        <v>696314.99052256648</v>
      </c>
      <c r="E21" s="43">
        <f>E19/(1.16^3)</f>
        <v>1494245.3027203511</v>
      </c>
      <c r="F21" s="4">
        <f>SUM(B21:E21)</f>
        <v>-757523.45059944689</v>
      </c>
    </row>
    <row r="22" spans="1:6" x14ac:dyDescent="0.25">
      <c r="A22" s="33"/>
      <c r="B22" s="37"/>
      <c r="C22" s="37"/>
      <c r="D22" s="37"/>
      <c r="E22" s="3"/>
      <c r="F22" s="4"/>
    </row>
    <row r="23" spans="1:6" x14ac:dyDescent="0.25">
      <c r="A23" t="s">
        <v>99</v>
      </c>
    </row>
    <row r="24" spans="1:6" x14ac:dyDescent="0.25">
      <c r="A24" s="41"/>
      <c r="B24" s="42">
        <v>0</v>
      </c>
      <c r="C24" s="42">
        <v>1</v>
      </c>
      <c r="D24" s="43">
        <v>2</v>
      </c>
      <c r="E24" s="42">
        <v>3</v>
      </c>
    </row>
    <row r="25" spans="1:6" x14ac:dyDescent="0.25">
      <c r="A25" s="42" t="s">
        <v>59</v>
      </c>
      <c r="B25" s="43">
        <f>-3100000</f>
        <v>-3100000</v>
      </c>
      <c r="C25" s="43"/>
      <c r="D25" s="43"/>
      <c r="E25" s="43"/>
    </row>
    <row r="26" spans="1:6" x14ac:dyDescent="0.25">
      <c r="A26" s="42"/>
      <c r="B26" s="43"/>
      <c r="C26" s="43"/>
      <c r="D26" s="43"/>
      <c r="E26" s="43"/>
    </row>
    <row r="27" spans="1:6" x14ac:dyDescent="0.25">
      <c r="A27" s="42" t="s">
        <v>92</v>
      </c>
      <c r="B27" s="43"/>
      <c r="C27" s="43"/>
      <c r="D27" s="43"/>
      <c r="E27" s="43"/>
    </row>
    <row r="28" spans="1:6" x14ac:dyDescent="0.25">
      <c r="A28" s="42"/>
      <c r="B28" s="43"/>
      <c r="C28" s="43"/>
      <c r="D28" s="43"/>
      <c r="E28" s="43"/>
    </row>
    <row r="29" spans="1:6" x14ac:dyDescent="0.25">
      <c r="A29" s="42" t="s">
        <v>93</v>
      </c>
      <c r="B29" s="43"/>
      <c r="C29" s="43"/>
      <c r="D29" s="43"/>
      <c r="E29" s="43"/>
    </row>
    <row r="30" spans="1:6" x14ac:dyDescent="0.25">
      <c r="A30" s="42"/>
      <c r="B30" s="44"/>
      <c r="C30" s="43"/>
      <c r="D30" s="43"/>
      <c r="E30" s="43"/>
    </row>
    <row r="31" spans="1:6" x14ac:dyDescent="0.25">
      <c r="A31" s="42" t="s">
        <v>60</v>
      </c>
      <c r="B31" s="43"/>
      <c r="C31" s="43">
        <v>1500000</v>
      </c>
      <c r="D31" s="43">
        <v>1950000</v>
      </c>
      <c r="E31" s="43">
        <v>2500000</v>
      </c>
    </row>
    <row r="32" spans="1:6" x14ac:dyDescent="0.25">
      <c r="A32" s="42"/>
      <c r="B32" s="43"/>
      <c r="C32" s="43"/>
      <c r="D32" s="43"/>
      <c r="E32" s="43"/>
    </row>
    <row r="33" spans="1:6" x14ac:dyDescent="0.25">
      <c r="A33" s="42" t="s">
        <v>81</v>
      </c>
      <c r="B33" s="43"/>
      <c r="C33" s="43">
        <v>600000</v>
      </c>
      <c r="D33" s="43">
        <v>630000</v>
      </c>
      <c r="E33" s="43">
        <v>1150000</v>
      </c>
    </row>
    <row r="34" spans="1:6" x14ac:dyDescent="0.25">
      <c r="A34" s="42"/>
      <c r="B34" s="43"/>
      <c r="C34" s="43"/>
      <c r="D34" s="43"/>
      <c r="E34" s="43"/>
    </row>
    <row r="35" spans="1:6" x14ac:dyDescent="0.25">
      <c r="A35" s="42" t="s">
        <v>91</v>
      </c>
      <c r="B35" s="43"/>
      <c r="C35" s="43"/>
      <c r="D35" s="43"/>
      <c r="E35" s="43"/>
    </row>
    <row r="36" spans="1:6" x14ac:dyDescent="0.25">
      <c r="A36" s="42"/>
      <c r="B36" s="43"/>
      <c r="C36" s="43"/>
      <c r="D36" s="43"/>
      <c r="E36" s="43"/>
    </row>
    <row r="37" spans="1:6" x14ac:dyDescent="0.25">
      <c r="A37" s="42" t="s">
        <v>94</v>
      </c>
      <c r="B37" s="43"/>
      <c r="C37" s="43"/>
      <c r="D37" s="43"/>
      <c r="E37" s="43"/>
    </row>
    <row r="38" spans="1:6" x14ac:dyDescent="0.25">
      <c r="A38" s="42"/>
      <c r="B38" s="43"/>
      <c r="C38" s="43"/>
      <c r="D38" s="43"/>
      <c r="E38" s="43"/>
    </row>
    <row r="39" spans="1:6" x14ac:dyDescent="0.25">
      <c r="A39" s="42" t="s">
        <v>61</v>
      </c>
      <c r="B39" s="43"/>
      <c r="C39" s="43">
        <f>C31-C33</f>
        <v>900000</v>
      </c>
      <c r="D39" s="43">
        <f>D31-D33-D35</f>
        <v>1320000</v>
      </c>
      <c r="E39" s="43">
        <f>E31-E33+E37</f>
        <v>1350000</v>
      </c>
    </row>
    <row r="40" spans="1:6" ht="15.75" x14ac:dyDescent="0.25">
      <c r="A40" s="45"/>
      <c r="B40" s="46"/>
      <c r="C40" s="46"/>
      <c r="D40" s="46"/>
      <c r="E40" s="43"/>
    </row>
    <row r="41" spans="1:6" x14ac:dyDescent="0.25">
      <c r="A41" s="42" t="s">
        <v>67</v>
      </c>
      <c r="B41" s="43">
        <f>SUM(B25:B40)</f>
        <v>-3100000</v>
      </c>
      <c r="C41" s="43">
        <f>C39/(1.05)</f>
        <v>857142.85714285716</v>
      </c>
      <c r="D41" s="43">
        <f>D39/(1.05^2)</f>
        <v>1197278.9115646258</v>
      </c>
      <c r="E41" s="43">
        <f>E39/(1.05^3)</f>
        <v>1166180.7580174925</v>
      </c>
      <c r="F41" s="4">
        <f>SUM(B41:E41)</f>
        <v>120602.52672497556</v>
      </c>
    </row>
    <row r="42" spans="1:6" x14ac:dyDescent="0.25">
      <c r="A42" s="42"/>
      <c r="B42" s="43"/>
      <c r="C42" s="43"/>
      <c r="D42" s="43"/>
      <c r="E42" s="47"/>
    </row>
    <row r="43" spans="1:6" x14ac:dyDescent="0.25">
      <c r="A43" s="42" t="s">
        <v>68</v>
      </c>
      <c r="B43" s="43">
        <f>SUM(B31:B42)</f>
        <v>-3100000</v>
      </c>
      <c r="C43" s="43">
        <f>C41/(1.16)</f>
        <v>738916.25615763548</v>
      </c>
      <c r="D43" s="43">
        <f>D41/(1.16^2)</f>
        <v>889773.26959321182</v>
      </c>
      <c r="E43" s="43">
        <f>E41/(1.16^3)</f>
        <v>747122.65136017557</v>
      </c>
      <c r="F43" s="4">
        <f>SUM(B43:E43)</f>
        <v>-724187.82288897689</v>
      </c>
    </row>
  </sheetData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A4C45-182B-43D5-BF2C-1AD1BACF9E2C}">
  <sheetPr>
    <pageSetUpPr fitToPage="1"/>
  </sheetPr>
  <dimension ref="A1:M27"/>
  <sheetViews>
    <sheetView tabSelected="1" topLeftCell="A10" zoomScale="115" zoomScaleNormal="115" workbookViewId="0">
      <selection activeCell="A22" sqref="A22"/>
    </sheetView>
  </sheetViews>
  <sheetFormatPr baseColWidth="10" defaultRowHeight="15" x14ac:dyDescent="0.25"/>
  <cols>
    <col min="1" max="4" width="11.140625" customWidth="1"/>
    <col min="5" max="5" width="11.28515625" customWidth="1"/>
    <col min="6" max="6" width="10.5703125" customWidth="1"/>
    <col min="7" max="7" width="8.140625" customWidth="1"/>
    <col min="8" max="8" width="7.140625" customWidth="1"/>
    <col min="9" max="9" width="7.5703125" customWidth="1"/>
    <col min="10" max="10" width="9.85546875" customWidth="1"/>
  </cols>
  <sheetData>
    <row r="1" spans="1:13" x14ac:dyDescent="0.25">
      <c r="A1" s="48" t="s">
        <v>69</v>
      </c>
      <c r="B1" s="48" t="s">
        <v>70</v>
      </c>
      <c r="C1" s="48" t="s">
        <v>95</v>
      </c>
      <c r="D1" s="48" t="s">
        <v>71</v>
      </c>
      <c r="E1" s="48" t="s">
        <v>72</v>
      </c>
      <c r="F1" s="48" t="s">
        <v>73</v>
      </c>
      <c r="G1" s="48" t="s">
        <v>74</v>
      </c>
      <c r="H1" s="48" t="s">
        <v>75</v>
      </c>
      <c r="I1" s="48" t="s">
        <v>76</v>
      </c>
      <c r="J1" s="63" t="s">
        <v>77</v>
      </c>
      <c r="K1" s="48" t="s">
        <v>96</v>
      </c>
      <c r="L1" s="48" t="s">
        <v>97</v>
      </c>
      <c r="M1" s="48" t="s">
        <v>98</v>
      </c>
    </row>
    <row r="2" spans="1:13" x14ac:dyDescent="0.25">
      <c r="A2" s="48">
        <v>0</v>
      </c>
      <c r="B2" s="49">
        <f>D2+E2</f>
        <v>320000</v>
      </c>
      <c r="C2" s="49"/>
      <c r="D2" s="49">
        <v>0</v>
      </c>
      <c r="E2" s="47">
        <v>320000</v>
      </c>
      <c r="F2" s="47"/>
      <c r="G2" s="50"/>
      <c r="H2" s="50"/>
      <c r="I2" s="47">
        <v>0</v>
      </c>
      <c r="J2" s="18"/>
      <c r="K2" s="48"/>
      <c r="L2" s="48"/>
      <c r="M2" s="48"/>
    </row>
    <row r="3" spans="1:13" x14ac:dyDescent="0.25">
      <c r="A3" s="48"/>
      <c r="B3" s="49"/>
      <c r="C3" s="49"/>
      <c r="D3" s="49"/>
      <c r="E3" s="47"/>
      <c r="F3" s="47">
        <f>B4-B2</f>
        <v>225000</v>
      </c>
      <c r="G3" s="47"/>
      <c r="H3" s="47"/>
      <c r="I3" s="47"/>
      <c r="J3" s="18">
        <f>F3/100</f>
        <v>2250</v>
      </c>
      <c r="K3" s="64">
        <f>C4-C2</f>
        <v>450000</v>
      </c>
      <c r="L3" s="64">
        <f>K3/100</f>
        <v>4500</v>
      </c>
      <c r="M3" s="48"/>
    </row>
    <row r="4" spans="1:13" x14ac:dyDescent="0.25">
      <c r="A4" s="48">
        <v>100</v>
      </c>
      <c r="B4" s="49">
        <f t="shared" ref="B4" si="0">D4+E4</f>
        <v>545000</v>
      </c>
      <c r="C4" s="49">
        <f>M4*A4</f>
        <v>450000</v>
      </c>
      <c r="D4" s="49">
        <v>225000</v>
      </c>
      <c r="E4" s="47">
        <v>320000</v>
      </c>
      <c r="F4" s="47"/>
      <c r="G4" s="47">
        <f>B4/A4</f>
        <v>5450</v>
      </c>
      <c r="H4" s="47">
        <f>E4/A4</f>
        <v>3200</v>
      </c>
      <c r="I4" s="47">
        <f>D4/A4</f>
        <v>2250</v>
      </c>
      <c r="K4" s="48"/>
      <c r="L4" s="48"/>
      <c r="M4" s="48">
        <v>4500</v>
      </c>
    </row>
    <row r="5" spans="1:13" x14ac:dyDescent="0.25">
      <c r="A5" s="48"/>
      <c r="B5" s="49"/>
      <c r="C5" s="49"/>
      <c r="D5" s="49"/>
      <c r="E5" s="47"/>
      <c r="F5" s="47">
        <f>B6-B4</f>
        <v>345000</v>
      </c>
      <c r="G5" s="47"/>
      <c r="H5" s="47"/>
      <c r="I5" s="47"/>
      <c r="J5" s="18">
        <f>F5/100</f>
        <v>3450</v>
      </c>
      <c r="K5" s="64">
        <f>C6-C4</f>
        <v>750000</v>
      </c>
      <c r="L5" s="64">
        <f>K5/100</f>
        <v>7500</v>
      </c>
      <c r="M5" s="48"/>
    </row>
    <row r="6" spans="1:13" x14ac:dyDescent="0.25">
      <c r="A6" s="48">
        <v>200</v>
      </c>
      <c r="B6" s="49">
        <f t="shared" ref="B6" si="1">D6+E6</f>
        <v>890000</v>
      </c>
      <c r="C6" s="49">
        <f>M6*A6</f>
        <v>1200000</v>
      </c>
      <c r="D6" s="49">
        <v>570000</v>
      </c>
      <c r="E6" s="47">
        <v>320000</v>
      </c>
      <c r="F6" s="47"/>
      <c r="G6" s="47">
        <f>B6/A6</f>
        <v>4450</v>
      </c>
      <c r="H6" s="47">
        <f>E6/A6</f>
        <v>1600</v>
      </c>
      <c r="I6" s="47">
        <f>D6/A6</f>
        <v>2850</v>
      </c>
      <c r="J6" s="18"/>
      <c r="K6" s="48"/>
      <c r="L6" s="48"/>
      <c r="M6" s="48">
        <v>6000</v>
      </c>
    </row>
    <row r="7" spans="1:13" x14ac:dyDescent="0.25">
      <c r="A7" s="48"/>
      <c r="B7" s="49"/>
      <c r="C7" s="49"/>
      <c r="D7" s="49"/>
      <c r="E7" s="47"/>
      <c r="F7" s="47">
        <f>B8-B6</f>
        <v>220000</v>
      </c>
      <c r="G7" s="47"/>
      <c r="H7" s="47"/>
      <c r="I7" s="47"/>
      <c r="J7" s="18">
        <f>F7/100</f>
        <v>2200</v>
      </c>
      <c r="K7" s="64">
        <f>C8-C6</f>
        <v>1050000</v>
      </c>
      <c r="L7" s="64">
        <f>K7/100</f>
        <v>10500</v>
      </c>
      <c r="M7" s="48"/>
    </row>
    <row r="8" spans="1:13" x14ac:dyDescent="0.25">
      <c r="A8" s="48">
        <v>300</v>
      </c>
      <c r="B8" s="49">
        <f t="shared" ref="B8" si="2">D8+E8</f>
        <v>1110000</v>
      </c>
      <c r="C8" s="49">
        <f>A8*M8</f>
        <v>2250000</v>
      </c>
      <c r="D8" s="49">
        <v>790000</v>
      </c>
      <c r="E8" s="47">
        <v>320000</v>
      </c>
      <c r="F8" s="47"/>
      <c r="G8" s="47">
        <f>B8/A8</f>
        <v>3700</v>
      </c>
      <c r="H8" s="47">
        <f>E8/A8</f>
        <v>1066.6666666666667</v>
      </c>
      <c r="I8" s="47">
        <f>D8/A8</f>
        <v>2633.3333333333335</v>
      </c>
      <c r="J8" s="18"/>
      <c r="K8" s="48"/>
      <c r="L8" s="48"/>
      <c r="M8" s="48">
        <v>7500</v>
      </c>
    </row>
    <row r="9" spans="1:13" ht="15.75" x14ac:dyDescent="0.25">
      <c r="A9" s="35"/>
      <c r="B9" s="36"/>
      <c r="C9" s="36"/>
      <c r="D9" s="36"/>
      <c r="E9" s="34"/>
    </row>
    <row r="10" spans="1:13" x14ac:dyDescent="0.25">
      <c r="A10" s="33" t="s">
        <v>100</v>
      </c>
      <c r="B10" s="34"/>
      <c r="C10" s="34"/>
      <c r="D10" s="34"/>
      <c r="E10" s="34"/>
      <c r="F10" s="4"/>
      <c r="I10" s="4"/>
    </row>
    <row r="11" spans="1:13" x14ac:dyDescent="0.25">
      <c r="A11" s="65" t="s">
        <v>69</v>
      </c>
      <c r="B11" s="65" t="s">
        <v>70</v>
      </c>
      <c r="C11" s="65" t="s">
        <v>95</v>
      </c>
      <c r="D11" s="65" t="s">
        <v>71</v>
      </c>
      <c r="E11" s="65" t="s">
        <v>72</v>
      </c>
      <c r="F11" s="65" t="s">
        <v>73</v>
      </c>
      <c r="G11" s="65" t="s">
        <v>74</v>
      </c>
      <c r="H11" s="65" t="s">
        <v>75</v>
      </c>
      <c r="I11" s="65" t="s">
        <v>76</v>
      </c>
      <c r="J11" s="65" t="s">
        <v>77</v>
      </c>
      <c r="K11" s="65" t="s">
        <v>96</v>
      </c>
      <c r="L11" s="65" t="s">
        <v>97</v>
      </c>
      <c r="M11" s="65" t="s">
        <v>98</v>
      </c>
    </row>
    <row r="12" spans="1:13" x14ac:dyDescent="0.25">
      <c r="A12" s="65">
        <v>0</v>
      </c>
      <c r="B12" s="66">
        <f>D12+E12</f>
        <v>320000</v>
      </c>
      <c r="C12" s="66"/>
      <c r="D12" s="66"/>
      <c r="E12" s="67">
        <v>320000</v>
      </c>
      <c r="F12" s="67"/>
      <c r="G12" s="68"/>
      <c r="H12" s="68"/>
      <c r="I12" s="67"/>
      <c r="J12" s="67"/>
      <c r="K12" s="65"/>
      <c r="L12" s="65"/>
      <c r="M12" s="65"/>
    </row>
    <row r="13" spans="1:13" x14ac:dyDescent="0.25">
      <c r="A13" s="65"/>
      <c r="B13" s="66"/>
      <c r="C13" s="66"/>
      <c r="D13" s="66"/>
      <c r="E13" s="67"/>
      <c r="F13" s="67"/>
      <c r="G13" s="67"/>
      <c r="H13" s="67"/>
      <c r="I13" s="67"/>
      <c r="J13" s="67"/>
      <c r="K13" s="69"/>
      <c r="L13" s="69"/>
      <c r="M13" s="65"/>
    </row>
    <row r="14" spans="1:13" x14ac:dyDescent="0.25">
      <c r="A14" s="65">
        <v>100</v>
      </c>
      <c r="B14" s="66">
        <f t="shared" ref="B14" si="3">D14+E14</f>
        <v>225000</v>
      </c>
      <c r="C14" s="66"/>
      <c r="D14" s="66">
        <v>225000</v>
      </c>
      <c r="E14" s="67"/>
      <c r="F14" s="67"/>
      <c r="G14" s="67"/>
      <c r="H14" s="67"/>
      <c r="I14" s="67"/>
      <c r="J14" s="70"/>
      <c r="K14" s="65"/>
      <c r="L14" s="65"/>
      <c r="M14" s="65">
        <v>4500</v>
      </c>
    </row>
    <row r="15" spans="1:13" x14ac:dyDescent="0.25">
      <c r="A15" s="65"/>
      <c r="B15" s="66"/>
      <c r="C15" s="66"/>
      <c r="D15" s="66"/>
      <c r="E15" s="67"/>
      <c r="F15" s="67"/>
      <c r="G15" s="67"/>
      <c r="H15" s="67"/>
      <c r="I15" s="67"/>
      <c r="J15" s="67"/>
      <c r="K15" s="69"/>
      <c r="L15" s="69"/>
      <c r="M15" s="65"/>
    </row>
    <row r="16" spans="1:13" x14ac:dyDescent="0.25">
      <c r="A16" s="65">
        <v>200</v>
      </c>
      <c r="B16" s="66"/>
      <c r="C16" s="66">
        <v>1200000</v>
      </c>
      <c r="D16" s="66"/>
      <c r="E16" s="67"/>
      <c r="F16" s="67"/>
      <c r="G16" s="67"/>
      <c r="H16" s="67"/>
      <c r="I16" s="67">
        <v>2850</v>
      </c>
      <c r="J16" s="67"/>
      <c r="K16" s="65"/>
      <c r="L16" s="65"/>
      <c r="M16" s="65">
        <v>6000</v>
      </c>
    </row>
    <row r="17" spans="1:13" x14ac:dyDescent="0.25">
      <c r="A17" s="65"/>
      <c r="B17" s="66"/>
      <c r="C17" s="66"/>
      <c r="D17" s="66"/>
      <c r="E17" s="67"/>
      <c r="F17" s="67"/>
      <c r="G17" s="67"/>
      <c r="H17" s="67"/>
      <c r="I17" s="67"/>
      <c r="J17" s="67"/>
      <c r="K17" s="69"/>
      <c r="L17" s="69"/>
      <c r="M17" s="65"/>
    </row>
    <row r="18" spans="1:13" x14ac:dyDescent="0.25">
      <c r="A18" s="65">
        <v>300</v>
      </c>
      <c r="B18" s="66">
        <f t="shared" ref="B18" si="4">D18+E18</f>
        <v>790000</v>
      </c>
      <c r="C18" s="66">
        <v>2250000</v>
      </c>
      <c r="D18" s="66">
        <v>790000</v>
      </c>
      <c r="E18" s="67"/>
      <c r="F18" s="67"/>
      <c r="G18" s="67"/>
      <c r="H18" s="67"/>
      <c r="I18" s="67"/>
      <c r="J18" s="67"/>
      <c r="K18" s="65"/>
      <c r="L18" s="65"/>
      <c r="M18" s="65"/>
    </row>
    <row r="19" spans="1:13" x14ac:dyDescent="0.25">
      <c r="A19" t="s">
        <v>99</v>
      </c>
      <c r="B19" s="3"/>
      <c r="C19" s="3"/>
      <c r="D19" s="3"/>
      <c r="E19" s="3"/>
    </row>
    <row r="20" spans="1:13" x14ac:dyDescent="0.25">
      <c r="A20" s="65" t="s">
        <v>69</v>
      </c>
      <c r="B20" s="65" t="s">
        <v>70</v>
      </c>
      <c r="C20" s="65" t="s">
        <v>71</v>
      </c>
      <c r="D20" s="65" t="s">
        <v>72</v>
      </c>
      <c r="E20" s="65" t="s">
        <v>73</v>
      </c>
      <c r="F20" s="65" t="s">
        <v>74</v>
      </c>
      <c r="G20" s="65" t="s">
        <v>75</v>
      </c>
      <c r="H20" s="65" t="s">
        <v>76</v>
      </c>
      <c r="I20" s="65" t="s">
        <v>77</v>
      </c>
    </row>
    <row r="21" spans="1:13" x14ac:dyDescent="0.25">
      <c r="A21" s="65">
        <v>0</v>
      </c>
      <c r="B21" s="66">
        <f>C21+D21</f>
        <v>320000</v>
      </c>
      <c r="C21" s="66"/>
      <c r="D21" s="67">
        <v>320000</v>
      </c>
      <c r="E21" s="67"/>
      <c r="F21" s="68"/>
      <c r="G21" s="68"/>
      <c r="H21" s="67"/>
      <c r="I21" s="67"/>
    </row>
    <row r="22" spans="1:13" x14ac:dyDescent="0.25">
      <c r="A22" s="65"/>
      <c r="B22" s="66"/>
      <c r="C22" s="66"/>
      <c r="D22" s="67"/>
      <c r="E22" s="67"/>
      <c r="F22" s="67"/>
      <c r="G22" s="67"/>
      <c r="H22" s="67"/>
      <c r="I22" s="67"/>
    </row>
    <row r="23" spans="1:13" x14ac:dyDescent="0.25">
      <c r="A23" s="65">
        <v>100</v>
      </c>
      <c r="B23" s="66">
        <f>C23+D23</f>
        <v>225000</v>
      </c>
      <c r="C23" s="66">
        <v>225000</v>
      </c>
      <c r="D23" s="67"/>
      <c r="E23" s="67"/>
      <c r="F23" s="67"/>
      <c r="G23" s="67"/>
      <c r="H23" s="67"/>
      <c r="I23" s="70"/>
    </row>
    <row r="24" spans="1:13" x14ac:dyDescent="0.25">
      <c r="A24" s="65"/>
      <c r="B24" s="66"/>
      <c r="C24" s="66"/>
      <c r="D24" s="67"/>
      <c r="E24" s="67"/>
      <c r="F24" s="67"/>
      <c r="G24" s="67"/>
      <c r="H24" s="67"/>
      <c r="I24" s="67"/>
    </row>
    <row r="25" spans="1:13" x14ac:dyDescent="0.25">
      <c r="A25" s="65">
        <v>200</v>
      </c>
      <c r="B25" s="66"/>
      <c r="C25" s="66"/>
      <c r="D25" s="67"/>
      <c r="E25" s="67"/>
      <c r="F25" s="67"/>
      <c r="G25" s="67"/>
      <c r="H25" s="67">
        <v>2850</v>
      </c>
      <c r="I25" s="67"/>
    </row>
    <row r="26" spans="1:13" x14ac:dyDescent="0.25">
      <c r="A26" s="65"/>
      <c r="B26" s="66"/>
      <c r="C26" s="66"/>
      <c r="D26" s="67"/>
      <c r="E26" s="67"/>
      <c r="F26" s="67"/>
      <c r="G26" s="67"/>
      <c r="H26" s="67"/>
      <c r="I26" s="67"/>
    </row>
    <row r="27" spans="1:13" x14ac:dyDescent="0.25">
      <c r="A27" s="65">
        <v>300</v>
      </c>
      <c r="B27" s="66">
        <f>C27+D27</f>
        <v>790000</v>
      </c>
      <c r="C27" s="66">
        <v>790000</v>
      </c>
      <c r="D27" s="67"/>
      <c r="E27" s="67"/>
      <c r="F27" s="67"/>
      <c r="G27" s="67"/>
      <c r="H27" s="67"/>
      <c r="I27" s="67"/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B2469-0FB5-4B99-BB78-044B85C5EBA3}">
  <sheetPr>
    <pageSetUpPr fitToPage="1"/>
  </sheetPr>
  <dimension ref="A1:I23"/>
  <sheetViews>
    <sheetView topLeftCell="A10" zoomScale="115" zoomScaleNormal="115" workbookViewId="0">
      <selection activeCell="H16" sqref="H16"/>
    </sheetView>
  </sheetViews>
  <sheetFormatPr baseColWidth="10" defaultRowHeight="15" x14ac:dyDescent="0.25"/>
  <cols>
    <col min="1" max="1" width="22.5703125" customWidth="1"/>
    <col min="2" max="3" width="11.140625" customWidth="1"/>
    <col min="4" max="4" width="11.28515625" customWidth="1"/>
    <col min="5" max="5" width="10.5703125" customWidth="1"/>
    <col min="6" max="6" width="8.140625" customWidth="1"/>
    <col min="7" max="7" width="7.140625" customWidth="1"/>
    <col min="8" max="8" width="7.5703125" customWidth="1"/>
    <col min="9" max="9" width="9.85546875" customWidth="1"/>
  </cols>
  <sheetData>
    <row r="1" spans="1:9" x14ac:dyDescent="0.25">
      <c r="A1" s="62" t="s">
        <v>78</v>
      </c>
      <c r="B1" s="52">
        <v>22500</v>
      </c>
      <c r="C1" s="51" t="s">
        <v>87</v>
      </c>
      <c r="D1" s="51"/>
      <c r="E1" s="51"/>
      <c r="F1" s="51"/>
      <c r="G1" s="51"/>
      <c r="H1" s="51"/>
      <c r="I1" s="51"/>
    </row>
    <row r="2" spans="1:9" x14ac:dyDescent="0.25">
      <c r="A2" s="55" t="s">
        <v>79</v>
      </c>
      <c r="B2" s="56">
        <v>13700</v>
      </c>
      <c r="C2" s="55" t="s">
        <v>87</v>
      </c>
      <c r="D2" s="13"/>
      <c r="E2" s="13"/>
      <c r="F2" s="53"/>
      <c r="G2" s="53"/>
      <c r="H2" s="13"/>
      <c r="I2" s="13"/>
    </row>
    <row r="3" spans="1:9" x14ac:dyDescent="0.25">
      <c r="A3" s="57" t="s">
        <v>80</v>
      </c>
      <c r="B3" s="58">
        <f>B1-B2</f>
        <v>8800</v>
      </c>
      <c r="C3" s="57" t="s">
        <v>87</v>
      </c>
      <c r="D3" s="13"/>
      <c r="E3" s="13"/>
      <c r="F3" s="13"/>
      <c r="G3" s="13"/>
      <c r="H3" s="13"/>
      <c r="I3" s="13"/>
    </row>
    <row r="4" spans="1:9" x14ac:dyDescent="0.25">
      <c r="A4" s="55" t="s">
        <v>81</v>
      </c>
      <c r="B4" s="56">
        <v>4200</v>
      </c>
      <c r="C4" s="55" t="s">
        <v>87</v>
      </c>
      <c r="D4" s="13"/>
      <c r="E4" s="13"/>
      <c r="F4" s="13"/>
      <c r="G4" s="13"/>
      <c r="H4" s="13"/>
    </row>
    <row r="5" spans="1:9" x14ac:dyDescent="0.25">
      <c r="A5" s="57" t="s">
        <v>82</v>
      </c>
      <c r="B5" s="58">
        <f>B3-B4</f>
        <v>4600</v>
      </c>
      <c r="C5" s="57" t="s">
        <v>87</v>
      </c>
      <c r="D5" s="13"/>
      <c r="E5" s="13"/>
      <c r="F5" s="13"/>
      <c r="G5" s="13"/>
      <c r="H5" s="13"/>
      <c r="I5" s="13"/>
    </row>
    <row r="6" spans="1:9" x14ac:dyDescent="0.25">
      <c r="A6" s="57"/>
      <c r="B6" s="58"/>
      <c r="C6" s="57"/>
      <c r="D6" s="13"/>
      <c r="E6" s="13"/>
      <c r="F6" s="13"/>
      <c r="G6" s="13"/>
      <c r="H6" s="13"/>
      <c r="I6" s="13"/>
    </row>
    <row r="7" spans="1:9" x14ac:dyDescent="0.25">
      <c r="A7" s="57" t="s">
        <v>85</v>
      </c>
      <c r="B7" s="57">
        <v>500</v>
      </c>
      <c r="C7" s="57" t="s">
        <v>88</v>
      </c>
      <c r="D7" s="13"/>
      <c r="E7" s="13"/>
      <c r="F7" s="13"/>
      <c r="G7" s="13"/>
      <c r="H7" s="13"/>
      <c r="I7" s="13"/>
    </row>
    <row r="8" spans="1:9" x14ac:dyDescent="0.25">
      <c r="A8" s="57"/>
      <c r="B8" s="57"/>
      <c r="C8" s="57"/>
      <c r="D8" s="13"/>
      <c r="E8" s="13"/>
      <c r="F8" s="13"/>
      <c r="G8" s="13"/>
      <c r="H8" s="13"/>
      <c r="I8" s="13"/>
    </row>
    <row r="9" spans="1:9" x14ac:dyDescent="0.25">
      <c r="A9" s="57" t="s">
        <v>83</v>
      </c>
      <c r="B9" s="72">
        <f>B3/B1</f>
        <v>0.39111111111111113</v>
      </c>
      <c r="C9" s="58"/>
      <c r="D9" s="13"/>
      <c r="E9" s="13"/>
      <c r="F9" s="13"/>
      <c r="G9" s="13"/>
      <c r="H9" s="13"/>
      <c r="I9" s="13"/>
    </row>
    <row r="10" spans="1:9" x14ac:dyDescent="0.25">
      <c r="A10" s="57"/>
      <c r="B10" s="58"/>
      <c r="C10" s="58"/>
      <c r="D10" s="13"/>
      <c r="E10" s="13"/>
      <c r="F10" s="13"/>
      <c r="G10" s="13"/>
      <c r="H10" s="13"/>
      <c r="I10" s="13"/>
    </row>
    <row r="11" spans="1:9" x14ac:dyDescent="0.25">
      <c r="A11" s="59" t="s">
        <v>84</v>
      </c>
      <c r="B11" s="60">
        <f>B4/B9</f>
        <v>10738.636363636364</v>
      </c>
      <c r="C11" s="60" t="s">
        <v>87</v>
      </c>
      <c r="D11" s="34"/>
    </row>
    <row r="12" spans="1:9" x14ac:dyDescent="0.25">
      <c r="A12" s="59"/>
      <c r="B12" s="60"/>
      <c r="C12" s="60"/>
      <c r="D12" s="34"/>
      <c r="E12" s="4"/>
    </row>
    <row r="13" spans="1:9" x14ac:dyDescent="0.25">
      <c r="A13" s="57"/>
      <c r="B13" s="57"/>
      <c r="C13" s="57"/>
      <c r="D13" s="54"/>
      <c r="E13" s="51"/>
      <c r="F13" s="54"/>
      <c r="G13" s="51"/>
      <c r="H13" s="51"/>
      <c r="I13" s="51"/>
    </row>
    <row r="14" spans="1:9" x14ac:dyDescent="0.25">
      <c r="A14" s="57" t="s">
        <v>86</v>
      </c>
      <c r="B14" s="61">
        <f>B1/B7</f>
        <v>45</v>
      </c>
      <c r="C14" s="58" t="s">
        <v>87</v>
      </c>
      <c r="D14" s="13"/>
      <c r="E14" s="13"/>
      <c r="F14" s="53"/>
      <c r="G14" s="53"/>
      <c r="H14" s="13"/>
      <c r="I14" s="13"/>
    </row>
    <row r="15" spans="1:9" x14ac:dyDescent="0.25">
      <c r="A15" s="57" t="s">
        <v>76</v>
      </c>
      <c r="B15" s="61">
        <f>B2/B7</f>
        <v>27.4</v>
      </c>
      <c r="C15" s="58"/>
      <c r="D15" s="13"/>
      <c r="E15" s="13"/>
      <c r="F15" s="13"/>
      <c r="G15" s="13"/>
      <c r="H15" s="13"/>
      <c r="I15" s="13"/>
    </row>
    <row r="16" spans="1:9" x14ac:dyDescent="0.25">
      <c r="A16" s="59" t="s">
        <v>89</v>
      </c>
      <c r="B16" s="61">
        <f>B14-B15</f>
        <v>17.600000000000001</v>
      </c>
      <c r="C16" s="58"/>
      <c r="D16" s="13"/>
      <c r="E16" s="13"/>
      <c r="F16" s="13"/>
      <c r="G16" s="13"/>
      <c r="H16" s="13"/>
    </row>
    <row r="17" spans="1:9" x14ac:dyDescent="0.25">
      <c r="A17" s="57"/>
      <c r="B17" s="58"/>
      <c r="C17" s="58"/>
      <c r="D17" s="13"/>
      <c r="E17" s="13"/>
      <c r="F17" s="13"/>
      <c r="G17" s="13"/>
      <c r="H17" s="13"/>
      <c r="I17" s="13"/>
    </row>
    <row r="18" spans="1:9" x14ac:dyDescent="0.25">
      <c r="A18" s="59" t="s">
        <v>84</v>
      </c>
      <c r="B18" s="61">
        <f>B4/B16</f>
        <v>238.63636363636363</v>
      </c>
      <c r="C18" s="58" t="s">
        <v>90</v>
      </c>
      <c r="D18" s="13"/>
      <c r="E18" s="13"/>
      <c r="F18" s="13"/>
      <c r="G18" s="13"/>
      <c r="H18" s="13"/>
      <c r="I18" s="13"/>
    </row>
    <row r="19" spans="1:9" x14ac:dyDescent="0.25">
      <c r="A19" s="51"/>
      <c r="B19" s="52"/>
      <c r="C19" s="52"/>
      <c r="D19" s="13"/>
      <c r="E19" s="13"/>
      <c r="F19" s="13"/>
      <c r="G19" s="13"/>
      <c r="H19" s="13"/>
      <c r="I19" s="13"/>
    </row>
    <row r="20" spans="1:9" x14ac:dyDescent="0.25">
      <c r="A20" s="62" t="s">
        <v>102</v>
      </c>
      <c r="B20" s="71">
        <f>(B1-B11)/B1</f>
        <v>0.52272727272727271</v>
      </c>
      <c r="C20" s="52"/>
      <c r="D20" s="13"/>
      <c r="E20" s="13"/>
      <c r="F20" s="13"/>
      <c r="G20" s="13"/>
      <c r="H20" s="13"/>
      <c r="I20" s="13"/>
    </row>
    <row r="21" spans="1:9" x14ac:dyDescent="0.25">
      <c r="B21" s="13"/>
      <c r="C21" s="13"/>
      <c r="D21" s="13"/>
    </row>
    <row r="22" spans="1:9" x14ac:dyDescent="0.25">
      <c r="B22" s="13"/>
      <c r="C22" s="13"/>
      <c r="D22" s="13"/>
    </row>
    <row r="23" spans="1:9" x14ac:dyDescent="0.25">
      <c r="B23" s="3"/>
      <c r="C23" s="3"/>
      <c r="D23" s="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2</vt:lpstr>
      <vt:lpstr>Oppgave 3</vt:lpstr>
      <vt:lpstr>Oppgave 4</vt:lpstr>
      <vt:lpstr>Oppgave 5</vt:lpstr>
      <vt:lpstr>Oppgave 6</vt:lpstr>
      <vt:lpstr>Oppgave 6c)</vt:lpstr>
    </vt:vector>
  </TitlesOfParts>
  <Company>HIOF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Andre Leister</dc:creator>
  <cp:lastModifiedBy>Margrethe Karijord Johnsen</cp:lastModifiedBy>
  <cp:lastPrinted>2023-11-09T10:10:49Z</cp:lastPrinted>
  <dcterms:created xsi:type="dcterms:W3CDTF">2023-11-02T17:04:29Z</dcterms:created>
  <dcterms:modified xsi:type="dcterms:W3CDTF">2024-02-15T13:53:45Z</dcterms:modified>
</cp:coreProperties>
</file>